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omments1.xml" ContentType="application/vnd.openxmlformats-officedocument.spreadsheetml.comments+xml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bakertilly-my.sharepoint.com/personal/Aaron_Hamilton_bakertilly_com/Documents/Documents/RHCA/2025 Employer Tool/"/>
    </mc:Choice>
  </mc:AlternateContent>
  <xr:revisionPtr revIDLastSave="10" documentId="13_ncr:1_{52016963-31EC-4B05-9246-BBFCF99171F5}" xr6:coauthVersionLast="47" xr6:coauthVersionMax="47" xr10:uidLastSave="{DB7E5051-DD07-4398-8A74-4E4695225F68}"/>
  <bookViews>
    <workbookView xWindow="28680" yWindow="-120" windowWidth="29040" windowHeight="15720" tabRatio="824" xr2:uid="{00000000-000D-0000-FFFF-FFFF00000000}"/>
  </bookViews>
  <sheets>
    <sheet name="Employer Template" sheetId="31" r:id="rId1"/>
    <sheet name="Contribution Allocation_Report" sheetId="8" state="hidden" r:id="rId2"/>
    <sheet name="Acerno_Cache_XXXXX" sheetId="24" state="veryHidden" r:id="rId3"/>
    <sheet name="OPEB Amounts_Report" sheetId="9" state="hidden" r:id="rId4"/>
    <sheet name="24_OPEB Amounts_Report" sheetId="32" state="hidden" r:id="rId5"/>
    <sheet name="Amortization Tables_Report" sheetId="10" state="hidden" r:id="rId6"/>
    <sheet name="Discount Rate Sensitivity" sheetId="3" state="hidden" r:id="rId7"/>
    <sheet name="Trend Rate Sensitivity" sheetId="29" state="hidden" r:id="rId8"/>
    <sheet name="Change in Proportion Layers" sheetId="22" state="hidden" r:id="rId9"/>
    <sheet name="Change in Proportion Calc" sheetId="18" state="hidden" r:id="rId10"/>
    <sheet name="Contribution Allocation_24" sheetId="30" state="hidden" r:id="rId11"/>
    <sheet name="Membership" sheetId="26" state="hidden" r:id="rId12"/>
    <sheet name="Note 3a" sheetId="12" state="hidden" r:id="rId13"/>
    <sheet name="Notes 3b" sheetId="15" state="hidden" r:id="rId14"/>
    <sheet name="Notes 3c" sheetId="16" state="hidden" r:id="rId15"/>
    <sheet name="Note 3d" sheetId="17" state="hidden" r:id="rId16"/>
    <sheet name="Note 5" sheetId="11" state="hidden" r:id="rId17"/>
    <sheet name="Note 5a" sheetId="13" state="hidden" r:id="rId18"/>
  </sheets>
  <definedNames>
    <definedName name="_xlnm._FilterDatabase" localSheetId="4" hidden="1">'24_OPEB Amounts_Report'!$A$7:$Q$324</definedName>
    <definedName name="_xlnm._FilterDatabase" localSheetId="5" hidden="1">'Amortization Tables_Report'!$A$9:$X$319</definedName>
    <definedName name="_xlnm._FilterDatabase" localSheetId="9" hidden="1">'Change in Proportion Calc'!$A$4:$E$311</definedName>
    <definedName name="_xlnm._FilterDatabase" localSheetId="8" hidden="1">'Change in Proportion Layers'!$A$7:$B$318</definedName>
    <definedName name="_xlnm._FilterDatabase" localSheetId="10" hidden="1">'Contribution Allocation_24'!$A$9:$D$311</definedName>
    <definedName name="_xlnm._FilterDatabase" localSheetId="1" hidden="1">'Contribution Allocation_Report'!$A$9:$D$312</definedName>
    <definedName name="_xlnm._FilterDatabase" localSheetId="3" hidden="1">'OPEB Amounts_Report'!$A$7:$Q$319</definedName>
    <definedName name="_xlnm.Print_Area" localSheetId="4">'24_OPEB Amounts_Report'!$A$1:$Q$331</definedName>
    <definedName name="_xlnm.Print_Area" localSheetId="5">'Amortization Tables_Report'!$A$1:$G$327</definedName>
    <definedName name="_xlnm.Print_Area" localSheetId="9">'Change in Proportion Calc'!$A$1:$Q$320</definedName>
    <definedName name="_xlnm.Print_Area" localSheetId="8">'Change in Proportion Layers'!$A$1:$AG$326</definedName>
    <definedName name="_xlnm.Print_Area" localSheetId="10">'Contribution Allocation_24'!$A$1:$D$317</definedName>
    <definedName name="_xlnm.Print_Area" localSheetId="1">'Contribution Allocation_Report'!$A$1:$D$317</definedName>
    <definedName name="_xlnm.Print_Area" localSheetId="6">'Discount Rate Sensitivity'!$A$1:$E$318</definedName>
    <definedName name="_xlnm.Print_Area" localSheetId="3">'OPEB Amounts_Report'!$A$1:$Q$326</definedName>
    <definedName name="_xlnm.Print_Area" localSheetId="7">'Trend Rate Sensitivity'!$A$1:$E$318</definedName>
    <definedName name="_xlnm.Print_Titles" localSheetId="4">'24_OPEB Amounts_Report'!$1:$9</definedName>
    <definedName name="_xlnm.Print_Titles" localSheetId="5">'Amortization Tables_Report'!$1:$9</definedName>
    <definedName name="_xlnm.Print_Titles" localSheetId="10">'Contribution Allocation_24'!$1:$8</definedName>
    <definedName name="_xlnm.Print_Titles" localSheetId="1">'Contribution Allocation_Report'!$1:$8</definedName>
    <definedName name="_xlnm.Print_Titles" localSheetId="6">'Discount Rate Sensitivity'!$1:$7</definedName>
    <definedName name="_xlnm.Print_Titles" localSheetId="3">'OPEB Amounts_Report'!$1:$9</definedName>
    <definedName name="_xlnm.Print_Titles" localSheetId="7">'Trend Rate Sensitivity'!$1:$7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4" i="8" l="1"/>
  <c r="B313" i="8"/>
  <c r="B312" i="8"/>
  <c r="B311" i="8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2" i="8"/>
  <c r="B281" i="8"/>
  <c r="B280" i="8"/>
  <c r="B279" i="8"/>
  <c r="B278" i="8"/>
  <c r="B277" i="8"/>
  <c r="B276" i="8"/>
  <c r="B275" i="8"/>
  <c r="B274" i="8"/>
  <c r="B273" i="8"/>
  <c r="B272" i="8"/>
  <c r="B271" i="8"/>
  <c r="B270" i="8"/>
  <c r="B269" i="8"/>
  <c r="B268" i="8"/>
  <c r="B267" i="8"/>
  <c r="B266" i="8"/>
  <c r="B265" i="8"/>
  <c r="B264" i="8"/>
  <c r="B263" i="8"/>
  <c r="B262" i="8"/>
  <c r="B261" i="8"/>
  <c r="B260" i="8"/>
  <c r="B259" i="8"/>
  <c r="B258" i="8"/>
  <c r="B257" i="8"/>
  <c r="B256" i="8"/>
  <c r="B255" i="8"/>
  <c r="B254" i="8"/>
  <c r="B253" i="8"/>
  <c r="B252" i="8"/>
  <c r="B251" i="8"/>
  <c r="B250" i="8"/>
  <c r="B249" i="8"/>
  <c r="B248" i="8"/>
  <c r="B247" i="8"/>
  <c r="B246" i="8"/>
  <c r="B245" i="8"/>
  <c r="B244" i="8"/>
  <c r="B243" i="8"/>
  <c r="B242" i="8"/>
  <c r="B241" i="8"/>
  <c r="B240" i="8"/>
  <c r="B239" i="8"/>
  <c r="B238" i="8"/>
  <c r="B237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B223" i="8"/>
  <c r="B222" i="8"/>
  <c r="B221" i="8"/>
  <c r="B220" i="8"/>
  <c r="B219" i="8"/>
  <c r="B218" i="8"/>
  <c r="B217" i="8"/>
  <c r="B216" i="8"/>
  <c r="B215" i="8"/>
  <c r="B214" i="8"/>
  <c r="B213" i="8"/>
  <c r="B212" i="8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C313" i="8"/>
  <c r="G324" i="8"/>
  <c r="H324" i="8" s="1"/>
  <c r="F4" i="31" l="1"/>
  <c r="O332" i="32"/>
  <c r="N332" i="32"/>
  <c r="K332" i="32"/>
  <c r="J332" i="32"/>
  <c r="I332" i="32"/>
  <c r="F332" i="32"/>
  <c r="E332" i="32"/>
  <c r="D332" i="32"/>
  <c r="C332" i="32"/>
  <c r="Q326" i="32"/>
  <c r="Q332" i="32" s="1"/>
  <c r="P326" i="32"/>
  <c r="P332" i="32" s="1"/>
  <c r="M326" i="32"/>
  <c r="M332" i="32" s="1"/>
  <c r="L326" i="32"/>
  <c r="L332" i="32" s="1"/>
  <c r="H326" i="32"/>
  <c r="H332" i="32" s="1"/>
  <c r="G326" i="32"/>
  <c r="G332" i="32" s="1"/>
  <c r="E137" i="31"/>
  <c r="E134" i="31"/>
  <c r="E75" i="31"/>
  <c r="E43" i="31"/>
  <c r="E44" i="31" s="1"/>
  <c r="E141" i="31"/>
  <c r="Y33" i="13"/>
  <c r="AB33" i="13"/>
  <c r="AA33" i="13"/>
  <c r="Z33" i="13"/>
  <c r="Y36" i="13"/>
  <c r="AA32" i="13"/>
  <c r="Z32" i="13"/>
  <c r="AE32" i="13" s="1"/>
  <c r="Y32" i="13"/>
  <c r="Z31" i="13"/>
  <c r="Y31" i="13"/>
  <c r="AA37" i="13"/>
  <c r="Y35" i="13"/>
  <c r="AE33" i="13"/>
  <c r="AE30" i="13"/>
  <c r="AC26" i="13"/>
  <c r="AE26" i="13"/>
  <c r="AB25" i="13"/>
  <c r="AA24" i="13"/>
  <c r="Z23" i="13"/>
  <c r="Y23" i="13"/>
  <c r="AC13" i="13"/>
  <c r="AB13" i="13"/>
  <c r="AA13" i="13"/>
  <c r="Z13" i="13"/>
  <c r="Y13" i="13"/>
  <c r="AC11" i="13"/>
  <c r="AE11" i="13" s="1"/>
  <c r="AB11" i="13"/>
  <c r="AA11" i="13"/>
  <c r="Z11" i="13"/>
  <c r="Y11" i="13"/>
  <c r="AB10" i="13"/>
  <c r="Y6" i="13"/>
  <c r="AE31" i="13"/>
  <c r="P33" i="13"/>
  <c r="P32" i="13"/>
  <c r="P31" i="13"/>
  <c r="P30" i="13"/>
  <c r="Y30" i="13" s="1"/>
  <c r="N29" i="13"/>
  <c r="P29" i="13" s="1"/>
  <c r="H37" i="13"/>
  <c r="H36" i="13"/>
  <c r="H35" i="13"/>
  <c r="N9" i="13"/>
  <c r="P11" i="13"/>
  <c r="J13" i="13"/>
  <c r="E144" i="31" l="1"/>
  <c r="L18" i="11"/>
  <c r="F12" i="11"/>
  <c r="D9" i="17"/>
  <c r="Q317" i="10"/>
  <c r="R317" i="10"/>
  <c r="S317" i="10"/>
  <c r="T317" i="10"/>
  <c r="U317" i="10"/>
  <c r="Q318" i="10"/>
  <c r="R318" i="10"/>
  <c r="S318" i="10"/>
  <c r="T318" i="10"/>
  <c r="U318" i="10"/>
  <c r="Q319" i="10"/>
  <c r="R319" i="10"/>
  <c r="S319" i="10"/>
  <c r="T319" i="10"/>
  <c r="U319" i="10"/>
  <c r="AP318" i="22"/>
  <c r="AO318" i="22"/>
  <c r="AN318" i="22"/>
  <c r="AM318" i="22"/>
  <c r="AL318" i="22"/>
  <c r="AP317" i="22"/>
  <c r="AO317" i="22"/>
  <c r="AN317" i="22"/>
  <c r="AM317" i="22"/>
  <c r="AL317" i="22"/>
  <c r="AP316" i="22"/>
  <c r="AO316" i="22"/>
  <c r="AN316" i="22"/>
  <c r="AM316" i="22"/>
  <c r="AL316" i="22"/>
  <c r="AK103" i="22"/>
  <c r="AC315" i="22"/>
  <c r="P316" i="9" s="1"/>
  <c r="AC316" i="22"/>
  <c r="AC317" i="22"/>
  <c r="AC318" i="22"/>
  <c r="AF318" i="22"/>
  <c r="AE318" i="22"/>
  <c r="AF317" i="22"/>
  <c r="AE317" i="22"/>
  <c r="AF316" i="22"/>
  <c r="AE316" i="22"/>
  <c r="G315" i="22"/>
  <c r="AP315" i="22" s="1"/>
  <c r="U316" i="10" s="1"/>
  <c r="F315" i="22"/>
  <c r="AO315" i="22" s="1"/>
  <c r="T316" i="10" s="1"/>
  <c r="E315" i="22"/>
  <c r="AN315" i="22" s="1"/>
  <c r="S316" i="10" s="1"/>
  <c r="D315" i="22"/>
  <c r="AM315" i="22" s="1"/>
  <c r="R316" i="10" s="1"/>
  <c r="C315" i="22"/>
  <c r="AL315" i="22" s="1"/>
  <c r="Q316" i="10" s="1"/>
  <c r="AK315" i="22"/>
  <c r="H311" i="18"/>
  <c r="G311" i="18"/>
  <c r="G317" i="18"/>
  <c r="G316" i="18"/>
  <c r="G313" i="8"/>
  <c r="G312" i="8"/>
  <c r="G311" i="8"/>
  <c r="G310" i="8"/>
  <c r="G309" i="8"/>
  <c r="G308" i="8"/>
  <c r="G307" i="8"/>
  <c r="G306" i="8"/>
  <c r="G305" i="8"/>
  <c r="G304" i="8"/>
  <c r="G303" i="8"/>
  <c r="G302" i="8"/>
  <c r="G301" i="8"/>
  <c r="G300" i="8"/>
  <c r="G299" i="8"/>
  <c r="G298" i="8"/>
  <c r="G297" i="8"/>
  <c r="G296" i="8"/>
  <c r="G295" i="8"/>
  <c r="G294" i="8"/>
  <c r="G293" i="8"/>
  <c r="G292" i="8"/>
  <c r="G291" i="8"/>
  <c r="G290" i="8"/>
  <c r="G289" i="8"/>
  <c r="G288" i="8"/>
  <c r="G287" i="8"/>
  <c r="G286" i="8"/>
  <c r="G285" i="8"/>
  <c r="G284" i="8"/>
  <c r="G283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70" i="8"/>
  <c r="G269" i="8"/>
  <c r="G268" i="8"/>
  <c r="G267" i="8"/>
  <c r="G266" i="8"/>
  <c r="G265" i="8"/>
  <c r="G264" i="8"/>
  <c r="G263" i="8"/>
  <c r="G262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314" i="8"/>
  <c r="AF315" i="22" l="1"/>
  <c r="L316" i="9" s="1"/>
  <c r="AE315" i="22"/>
  <c r="F316" i="9" l="1"/>
  <c r="F197" i="8" l="1"/>
  <c r="F105" i="8"/>
  <c r="C105" i="8"/>
  <c r="F630" i="30"/>
  <c r="G627" i="30"/>
  <c r="H627" i="30" s="1"/>
  <c r="H625" i="30"/>
  <c r="G625" i="30"/>
  <c r="G624" i="30"/>
  <c r="H624" i="30" s="1"/>
  <c r="G621" i="30"/>
  <c r="H621" i="30" s="1"/>
  <c r="G619" i="30"/>
  <c r="H619" i="30" s="1"/>
  <c r="G618" i="30"/>
  <c r="H618" i="30" s="1"/>
  <c r="G616" i="30"/>
  <c r="H616" i="30" s="1"/>
  <c r="H615" i="30"/>
  <c r="G611" i="30"/>
  <c r="H611" i="30" s="1"/>
  <c r="H609" i="30"/>
  <c r="G609" i="30"/>
  <c r="G608" i="30"/>
  <c r="H608" i="30" s="1"/>
  <c r="G605" i="30"/>
  <c r="H605" i="30" s="1"/>
  <c r="G603" i="30"/>
  <c r="H603" i="30" s="1"/>
  <c r="G602" i="30"/>
  <c r="H602" i="30" s="1"/>
  <c r="H601" i="30"/>
  <c r="G600" i="30"/>
  <c r="H600" i="30" s="1"/>
  <c r="G595" i="30"/>
  <c r="H595" i="30" s="1"/>
  <c r="H593" i="30"/>
  <c r="G593" i="30"/>
  <c r="G589" i="30"/>
  <c r="H589" i="30" s="1"/>
  <c r="G587" i="30"/>
  <c r="H587" i="30" s="1"/>
  <c r="G586" i="30"/>
  <c r="H586" i="30" s="1"/>
  <c r="H585" i="30"/>
  <c r="G584" i="30"/>
  <c r="H584" i="30" s="1"/>
  <c r="G579" i="30"/>
  <c r="H579" i="30" s="1"/>
  <c r="H577" i="30"/>
  <c r="G577" i="30"/>
  <c r="G573" i="30"/>
  <c r="H573" i="30" s="1"/>
  <c r="G571" i="30"/>
  <c r="H571" i="30" s="1"/>
  <c r="G570" i="30"/>
  <c r="H570" i="30" s="1"/>
  <c r="G568" i="30"/>
  <c r="H568" i="30" s="1"/>
  <c r="G564" i="30"/>
  <c r="H564" i="30" s="1"/>
  <c r="G563" i="30"/>
  <c r="H563" i="30" s="1"/>
  <c r="G562" i="30"/>
  <c r="H562" i="30" s="1"/>
  <c r="G556" i="30"/>
  <c r="H556" i="30" s="1"/>
  <c r="G555" i="30"/>
  <c r="H555" i="30" s="1"/>
  <c r="G552" i="30"/>
  <c r="H552" i="30" s="1"/>
  <c r="G548" i="30"/>
  <c r="H548" i="30" s="1"/>
  <c r="G547" i="30"/>
  <c r="H547" i="30" s="1"/>
  <c r="G546" i="30"/>
  <c r="H546" i="30" s="1"/>
  <c r="G544" i="30"/>
  <c r="H544" i="30" s="1"/>
  <c r="H543" i="30"/>
  <c r="G540" i="30"/>
  <c r="H540" i="30" s="1"/>
  <c r="G539" i="30"/>
  <c r="H539" i="30" s="1"/>
  <c r="G536" i="30"/>
  <c r="H536" i="30" s="1"/>
  <c r="G532" i="30"/>
  <c r="H532" i="30" s="1"/>
  <c r="G531" i="30"/>
  <c r="H531" i="30" s="1"/>
  <c r="G530" i="30"/>
  <c r="H530" i="30" s="1"/>
  <c r="H527" i="30"/>
  <c r="G524" i="30"/>
  <c r="H524" i="30" s="1"/>
  <c r="G523" i="30"/>
  <c r="H523" i="30" s="1"/>
  <c r="G520" i="30"/>
  <c r="H520" i="30" s="1"/>
  <c r="G516" i="30"/>
  <c r="H516" i="30" s="1"/>
  <c r="G515" i="30"/>
  <c r="H515" i="30" s="1"/>
  <c r="G514" i="30"/>
  <c r="H514" i="30" s="1"/>
  <c r="G509" i="30"/>
  <c r="H509" i="30" s="1"/>
  <c r="G507" i="30"/>
  <c r="H507" i="30" s="1"/>
  <c r="G504" i="30"/>
  <c r="H504" i="30" s="1"/>
  <c r="G500" i="30"/>
  <c r="H500" i="30" s="1"/>
  <c r="G499" i="30"/>
  <c r="H499" i="30" s="1"/>
  <c r="G498" i="30"/>
  <c r="H498" i="30" s="1"/>
  <c r="G496" i="30"/>
  <c r="H496" i="30" s="1"/>
  <c r="G492" i="30"/>
  <c r="H492" i="30" s="1"/>
  <c r="G491" i="30"/>
  <c r="H491" i="30" s="1"/>
  <c r="G488" i="30"/>
  <c r="H488" i="30" s="1"/>
  <c r="G484" i="30"/>
  <c r="H484" i="30" s="1"/>
  <c r="G483" i="30"/>
  <c r="H483" i="30" s="1"/>
  <c r="G482" i="30"/>
  <c r="H482" i="30" s="1"/>
  <c r="G480" i="30"/>
  <c r="H480" i="30" s="1"/>
  <c r="G476" i="30"/>
  <c r="H476" i="30" s="1"/>
  <c r="G475" i="30"/>
  <c r="H475" i="30" s="1"/>
  <c r="G472" i="30"/>
  <c r="H472" i="30" s="1"/>
  <c r="G468" i="30"/>
  <c r="H468" i="30" s="1"/>
  <c r="G467" i="30"/>
  <c r="H467" i="30" s="1"/>
  <c r="G466" i="30"/>
  <c r="H466" i="30" s="1"/>
  <c r="G464" i="30"/>
  <c r="H464" i="30" s="1"/>
  <c r="G460" i="30"/>
  <c r="H460" i="30" s="1"/>
  <c r="G459" i="30"/>
  <c r="H459" i="30" s="1"/>
  <c r="G456" i="30"/>
  <c r="H456" i="30" s="1"/>
  <c r="G452" i="30"/>
  <c r="H452" i="30" s="1"/>
  <c r="G451" i="30"/>
  <c r="H451" i="30" s="1"/>
  <c r="G450" i="30"/>
  <c r="H450" i="30" s="1"/>
  <c r="G448" i="30"/>
  <c r="H448" i="30" s="1"/>
  <c r="G444" i="30"/>
  <c r="H444" i="30" s="1"/>
  <c r="G443" i="30"/>
  <c r="H443" i="30" s="1"/>
  <c r="G442" i="30"/>
  <c r="H442" i="30" s="1"/>
  <c r="G440" i="30"/>
  <c r="H440" i="30" s="1"/>
  <c r="G436" i="30"/>
  <c r="H436" i="30" s="1"/>
  <c r="G435" i="30"/>
  <c r="H435" i="30" s="1"/>
  <c r="G434" i="30"/>
  <c r="H434" i="30" s="1"/>
  <c r="G432" i="30"/>
  <c r="H432" i="30" s="1"/>
  <c r="H431" i="30"/>
  <c r="G428" i="30"/>
  <c r="H428" i="30" s="1"/>
  <c r="G427" i="30"/>
  <c r="H427" i="30" s="1"/>
  <c r="G426" i="30"/>
  <c r="H426" i="30" s="1"/>
  <c r="G424" i="30"/>
  <c r="H424" i="30" s="1"/>
  <c r="G420" i="30"/>
  <c r="H420" i="30" s="1"/>
  <c r="G419" i="30"/>
  <c r="H419" i="30" s="1"/>
  <c r="G418" i="30"/>
  <c r="H418" i="30" s="1"/>
  <c r="H415" i="30"/>
  <c r="G412" i="30"/>
  <c r="H412" i="30" s="1"/>
  <c r="G411" i="30"/>
  <c r="H411" i="30" s="1"/>
  <c r="G408" i="30"/>
  <c r="H408" i="30" s="1"/>
  <c r="G404" i="30"/>
  <c r="H404" i="30" s="1"/>
  <c r="G403" i="30"/>
  <c r="H403" i="30" s="1"/>
  <c r="G402" i="30"/>
  <c r="H402" i="30" s="1"/>
  <c r="G400" i="30"/>
  <c r="H400" i="30" s="1"/>
  <c r="G396" i="30"/>
  <c r="H396" i="30" s="1"/>
  <c r="G395" i="30"/>
  <c r="H395" i="30" s="1"/>
  <c r="G392" i="30"/>
  <c r="H392" i="30" s="1"/>
  <c r="G388" i="30"/>
  <c r="H388" i="30" s="1"/>
  <c r="G387" i="30"/>
  <c r="H387" i="30" s="1"/>
  <c r="G386" i="30"/>
  <c r="H386" i="30" s="1"/>
  <c r="G384" i="30"/>
  <c r="H384" i="30" s="1"/>
  <c r="G380" i="30"/>
  <c r="H380" i="30" s="1"/>
  <c r="G379" i="30"/>
  <c r="H379" i="30" s="1"/>
  <c r="G376" i="30"/>
  <c r="H376" i="30" s="1"/>
  <c r="G372" i="30"/>
  <c r="H372" i="30" s="1"/>
  <c r="G371" i="30"/>
  <c r="H371" i="30" s="1"/>
  <c r="G370" i="30"/>
  <c r="H370" i="30" s="1"/>
  <c r="G368" i="30"/>
  <c r="H368" i="30" s="1"/>
  <c r="H367" i="30"/>
  <c r="G364" i="30"/>
  <c r="H364" i="30" s="1"/>
  <c r="G363" i="30"/>
  <c r="H363" i="30" s="1"/>
  <c r="G360" i="30"/>
  <c r="H360" i="30" s="1"/>
  <c r="G356" i="30"/>
  <c r="H356" i="30" s="1"/>
  <c r="G355" i="30"/>
  <c r="H355" i="30" s="1"/>
  <c r="G354" i="30"/>
  <c r="H354" i="30" s="1"/>
  <c r="G348" i="30"/>
  <c r="H348" i="30" s="1"/>
  <c r="G347" i="30"/>
  <c r="H347" i="30" s="1"/>
  <c r="G346" i="30"/>
  <c r="H346" i="30" s="1"/>
  <c r="G344" i="30"/>
  <c r="H344" i="30" s="1"/>
  <c r="G340" i="30"/>
  <c r="H340" i="30" s="1"/>
  <c r="G339" i="30"/>
  <c r="H339" i="30" s="1"/>
  <c r="G338" i="30"/>
  <c r="H338" i="30" s="1"/>
  <c r="G336" i="30"/>
  <c r="H336" i="30" s="1"/>
  <c r="G332" i="30"/>
  <c r="H332" i="30" s="1"/>
  <c r="G331" i="30"/>
  <c r="H331" i="30" s="1"/>
  <c r="G330" i="30"/>
  <c r="H330" i="30" s="1"/>
  <c r="H329" i="30"/>
  <c r="G328" i="30"/>
  <c r="H328" i="30" s="1"/>
  <c r="F314" i="30"/>
  <c r="C314" i="30"/>
  <c r="G629" i="30" s="1"/>
  <c r="H629" i="30" s="1"/>
  <c r="F313" i="30"/>
  <c r="C313" i="30"/>
  <c r="G628" i="30" s="1"/>
  <c r="H628" i="30" s="1"/>
  <c r="F312" i="30"/>
  <c r="C312" i="30"/>
  <c r="F311" i="30"/>
  <c r="C311" i="30"/>
  <c r="F310" i="30"/>
  <c r="C310" i="30"/>
  <c r="F309" i="30"/>
  <c r="C309" i="30"/>
  <c r="F308" i="30"/>
  <c r="C308" i="30"/>
  <c r="F307" i="30"/>
  <c r="C307" i="30"/>
  <c r="G622" i="30" s="1"/>
  <c r="H622" i="30" s="1"/>
  <c r="F306" i="30"/>
  <c r="C306" i="30"/>
  <c r="F305" i="30"/>
  <c r="C305" i="30"/>
  <c r="F304" i="30"/>
  <c r="C304" i="30"/>
  <c r="F303" i="30"/>
  <c r="C303" i="30"/>
  <c r="F302" i="30"/>
  <c r="C302" i="30"/>
  <c r="G617" i="30" s="1"/>
  <c r="H617" i="30" s="1"/>
  <c r="F301" i="30"/>
  <c r="C301" i="30"/>
  <c r="F300" i="30"/>
  <c r="C300" i="30"/>
  <c r="G615" i="30" s="1"/>
  <c r="F299" i="30"/>
  <c r="C299" i="30"/>
  <c r="F298" i="30"/>
  <c r="C298" i="30"/>
  <c r="G613" i="30" s="1"/>
  <c r="H613" i="30" s="1"/>
  <c r="F297" i="30"/>
  <c r="C297" i="30"/>
  <c r="G612" i="30" s="1"/>
  <c r="H612" i="30" s="1"/>
  <c r="F296" i="30"/>
  <c r="C296" i="30"/>
  <c r="F295" i="30"/>
  <c r="C295" i="30"/>
  <c r="F294" i="30"/>
  <c r="C294" i="30"/>
  <c r="F293" i="30"/>
  <c r="C293" i="30"/>
  <c r="F292" i="30"/>
  <c r="C292" i="30"/>
  <c r="F291" i="30"/>
  <c r="C291" i="30"/>
  <c r="G606" i="30" s="1"/>
  <c r="H606" i="30" s="1"/>
  <c r="F290" i="30"/>
  <c r="C290" i="30"/>
  <c r="F289" i="30"/>
  <c r="C289" i="30"/>
  <c r="F288" i="30"/>
  <c r="C288" i="30"/>
  <c r="F287" i="30"/>
  <c r="C287" i="30"/>
  <c r="F286" i="30"/>
  <c r="C286" i="30"/>
  <c r="G601" i="30" s="1"/>
  <c r="F285" i="30"/>
  <c r="C285" i="30"/>
  <c r="F284" i="30"/>
  <c r="C284" i="30"/>
  <c r="G599" i="30" s="1"/>
  <c r="H599" i="30" s="1"/>
  <c r="F283" i="30"/>
  <c r="C283" i="30"/>
  <c r="F282" i="30"/>
  <c r="C282" i="30"/>
  <c r="G597" i="30" s="1"/>
  <c r="H597" i="30" s="1"/>
  <c r="F281" i="30"/>
  <c r="C281" i="30"/>
  <c r="G596" i="30" s="1"/>
  <c r="H596" i="30" s="1"/>
  <c r="F280" i="30"/>
  <c r="C280" i="30"/>
  <c r="F279" i="30"/>
  <c r="C279" i="30"/>
  <c r="F278" i="30"/>
  <c r="C278" i="30"/>
  <c r="F277" i="30"/>
  <c r="C277" i="30"/>
  <c r="F276" i="30"/>
  <c r="C276" i="30"/>
  <c r="F275" i="30"/>
  <c r="C275" i="30"/>
  <c r="G590" i="30" s="1"/>
  <c r="H590" i="30" s="1"/>
  <c r="F274" i="30"/>
  <c r="C274" i="30"/>
  <c r="F273" i="30"/>
  <c r="C273" i="30"/>
  <c r="F272" i="30"/>
  <c r="C272" i="30"/>
  <c r="F271" i="30"/>
  <c r="C271" i="30"/>
  <c r="F270" i="30"/>
  <c r="C270" i="30"/>
  <c r="G585" i="30" s="1"/>
  <c r="F269" i="30"/>
  <c r="C269" i="30"/>
  <c r="F268" i="30"/>
  <c r="C268" i="30"/>
  <c r="G583" i="30" s="1"/>
  <c r="H583" i="30" s="1"/>
  <c r="F267" i="30"/>
  <c r="C267" i="30"/>
  <c r="F266" i="30"/>
  <c r="C266" i="30"/>
  <c r="G581" i="30" s="1"/>
  <c r="H581" i="30" s="1"/>
  <c r="F265" i="30"/>
  <c r="C265" i="30"/>
  <c r="G580" i="30" s="1"/>
  <c r="H580" i="30" s="1"/>
  <c r="F264" i="30"/>
  <c r="C264" i="30"/>
  <c r="F263" i="30"/>
  <c r="C263" i="30"/>
  <c r="F262" i="30"/>
  <c r="C262" i="30"/>
  <c r="F261" i="30"/>
  <c r="C261" i="30"/>
  <c r="F260" i="30"/>
  <c r="C260" i="30"/>
  <c r="F259" i="30"/>
  <c r="C259" i="30"/>
  <c r="G574" i="30" s="1"/>
  <c r="H574" i="30" s="1"/>
  <c r="F258" i="30"/>
  <c r="C258" i="30"/>
  <c r="F257" i="30"/>
  <c r="C257" i="30"/>
  <c r="F256" i="30"/>
  <c r="C256" i="30"/>
  <c r="F255" i="30"/>
  <c r="C255" i="30"/>
  <c r="F254" i="30"/>
  <c r="C254" i="30"/>
  <c r="G569" i="30" s="1"/>
  <c r="H569" i="30" s="1"/>
  <c r="F253" i="30"/>
  <c r="C253" i="30"/>
  <c r="F252" i="30"/>
  <c r="C252" i="30"/>
  <c r="F251" i="30"/>
  <c r="C251" i="30"/>
  <c r="F250" i="30"/>
  <c r="C250" i="30"/>
  <c r="G566" i="30" s="1"/>
  <c r="H566" i="30" s="1"/>
  <c r="F249" i="30"/>
  <c r="C249" i="30"/>
  <c r="G565" i="30" s="1"/>
  <c r="H565" i="30" s="1"/>
  <c r="F248" i="30"/>
  <c r="C248" i="30"/>
  <c r="F247" i="30"/>
  <c r="C247" i="30"/>
  <c r="F246" i="30"/>
  <c r="C246" i="30"/>
  <c r="F245" i="30"/>
  <c r="C245" i="30"/>
  <c r="F244" i="30"/>
  <c r="C244" i="30"/>
  <c r="F243" i="30"/>
  <c r="C243" i="30"/>
  <c r="G559" i="30" s="1"/>
  <c r="H559" i="30" s="1"/>
  <c r="F242" i="30"/>
  <c r="C242" i="30"/>
  <c r="G558" i="30" s="1"/>
  <c r="H558" i="30" s="1"/>
  <c r="F241" i="30"/>
  <c r="C241" i="30"/>
  <c r="F240" i="30"/>
  <c r="C240" i="30"/>
  <c r="F239" i="30"/>
  <c r="C239" i="30"/>
  <c r="F238" i="30"/>
  <c r="C238" i="30"/>
  <c r="G554" i="30" s="1"/>
  <c r="H554" i="30" s="1"/>
  <c r="F237" i="30"/>
  <c r="C237" i="30"/>
  <c r="F236" i="30"/>
  <c r="C236" i="30"/>
  <c r="F235" i="30"/>
  <c r="C235" i="30"/>
  <c r="F234" i="30"/>
  <c r="C234" i="30"/>
  <c r="G550" i="30" s="1"/>
  <c r="H550" i="30" s="1"/>
  <c r="F233" i="30"/>
  <c r="C233" i="30"/>
  <c r="G549" i="30" s="1"/>
  <c r="H549" i="30" s="1"/>
  <c r="F232" i="30"/>
  <c r="C232" i="30"/>
  <c r="F231" i="30"/>
  <c r="C231" i="30"/>
  <c r="F230" i="30"/>
  <c r="C230" i="30"/>
  <c r="F229" i="30"/>
  <c r="C229" i="30"/>
  <c r="F228" i="30"/>
  <c r="C228" i="30"/>
  <c r="F227" i="30"/>
  <c r="C227" i="30"/>
  <c r="G543" i="30" s="1"/>
  <c r="F226" i="30"/>
  <c r="C226" i="30"/>
  <c r="G542" i="30" s="1"/>
  <c r="H542" i="30" s="1"/>
  <c r="F225" i="30"/>
  <c r="C225" i="30"/>
  <c r="F224" i="30"/>
  <c r="C224" i="30"/>
  <c r="F223" i="30"/>
  <c r="C223" i="30"/>
  <c r="F222" i="30"/>
  <c r="C222" i="30"/>
  <c r="G538" i="30" s="1"/>
  <c r="H538" i="30" s="1"/>
  <c r="F221" i="30"/>
  <c r="C221" i="30"/>
  <c r="F220" i="30"/>
  <c r="C220" i="30"/>
  <c r="F219" i="30"/>
  <c r="C219" i="30"/>
  <c r="F218" i="30"/>
  <c r="C218" i="30"/>
  <c r="G534" i="30" s="1"/>
  <c r="H534" i="30" s="1"/>
  <c r="F217" i="30"/>
  <c r="C217" i="30"/>
  <c r="G533" i="30" s="1"/>
  <c r="H533" i="30" s="1"/>
  <c r="F216" i="30"/>
  <c r="C216" i="30"/>
  <c r="F215" i="30"/>
  <c r="C215" i="30"/>
  <c r="F214" i="30"/>
  <c r="C214" i="30"/>
  <c r="F213" i="30"/>
  <c r="C213" i="30"/>
  <c r="F212" i="30"/>
  <c r="C212" i="30"/>
  <c r="G528" i="30" s="1"/>
  <c r="H528" i="30" s="1"/>
  <c r="F211" i="30"/>
  <c r="C211" i="30"/>
  <c r="G527" i="30" s="1"/>
  <c r="F210" i="30"/>
  <c r="C210" i="30"/>
  <c r="G526" i="30" s="1"/>
  <c r="H526" i="30" s="1"/>
  <c r="F209" i="30"/>
  <c r="C209" i="30"/>
  <c r="F208" i="30"/>
  <c r="C208" i="30"/>
  <c r="F207" i="30"/>
  <c r="C207" i="30"/>
  <c r="F206" i="30"/>
  <c r="C206" i="30"/>
  <c r="G522" i="30" s="1"/>
  <c r="H522" i="30" s="1"/>
  <c r="F205" i="30"/>
  <c r="C205" i="30"/>
  <c r="F204" i="30"/>
  <c r="C204" i="30"/>
  <c r="F203" i="30"/>
  <c r="C203" i="30"/>
  <c r="F202" i="30"/>
  <c r="C202" i="30"/>
  <c r="G518" i="30" s="1"/>
  <c r="H518" i="30" s="1"/>
  <c r="F201" i="30"/>
  <c r="C201" i="30"/>
  <c r="G517" i="30" s="1"/>
  <c r="H517" i="30" s="1"/>
  <c r="F200" i="30"/>
  <c r="C200" i="30"/>
  <c r="F199" i="30"/>
  <c r="C199" i="30"/>
  <c r="F198" i="30"/>
  <c r="C198" i="30"/>
  <c r="F197" i="30"/>
  <c r="C197" i="30"/>
  <c r="F196" i="30"/>
  <c r="C196" i="30"/>
  <c r="G512" i="30" s="1"/>
  <c r="H512" i="30" s="1"/>
  <c r="F195" i="30"/>
  <c r="C195" i="30"/>
  <c r="G510" i="30" s="1"/>
  <c r="H510" i="30" s="1"/>
  <c r="F194" i="30"/>
  <c r="C194" i="30"/>
  <c r="F193" i="30"/>
  <c r="C193" i="30"/>
  <c r="F192" i="30"/>
  <c r="C192" i="30"/>
  <c r="G511" i="30" s="1"/>
  <c r="H511" i="30" s="1"/>
  <c r="F191" i="30"/>
  <c r="C191" i="30"/>
  <c r="F190" i="30"/>
  <c r="C190" i="30"/>
  <c r="G506" i="30" s="1"/>
  <c r="H506" i="30" s="1"/>
  <c r="F189" i="30"/>
  <c r="C189" i="30"/>
  <c r="F188" i="30"/>
  <c r="C188" i="30"/>
  <c r="F187" i="30"/>
  <c r="C187" i="30"/>
  <c r="F186" i="30"/>
  <c r="C186" i="30"/>
  <c r="G502" i="30" s="1"/>
  <c r="H502" i="30" s="1"/>
  <c r="F185" i="30"/>
  <c r="C185" i="30"/>
  <c r="G501" i="30" s="1"/>
  <c r="H501" i="30" s="1"/>
  <c r="F184" i="30"/>
  <c r="C184" i="30"/>
  <c r="F183" i="30"/>
  <c r="C183" i="30"/>
  <c r="F182" i="30"/>
  <c r="C182" i="30"/>
  <c r="F181" i="30"/>
  <c r="C181" i="30"/>
  <c r="F180" i="30"/>
  <c r="C180" i="30"/>
  <c r="F179" i="30"/>
  <c r="C179" i="30"/>
  <c r="G495" i="30" s="1"/>
  <c r="H495" i="30" s="1"/>
  <c r="F178" i="30"/>
  <c r="C178" i="30"/>
  <c r="G494" i="30" s="1"/>
  <c r="H494" i="30" s="1"/>
  <c r="F177" i="30"/>
  <c r="C177" i="30"/>
  <c r="F176" i="30"/>
  <c r="C176" i="30"/>
  <c r="F175" i="30"/>
  <c r="C175" i="30"/>
  <c r="F174" i="30"/>
  <c r="C174" i="30"/>
  <c r="G490" i="30" s="1"/>
  <c r="H490" i="30" s="1"/>
  <c r="F173" i="30"/>
  <c r="C173" i="30"/>
  <c r="F172" i="30"/>
  <c r="C172" i="30"/>
  <c r="F171" i="30"/>
  <c r="C171" i="30"/>
  <c r="F170" i="30"/>
  <c r="C170" i="30"/>
  <c r="G486" i="30" s="1"/>
  <c r="H486" i="30" s="1"/>
  <c r="F169" i="30"/>
  <c r="C169" i="30"/>
  <c r="G485" i="30" s="1"/>
  <c r="H485" i="30" s="1"/>
  <c r="F168" i="30"/>
  <c r="C168" i="30"/>
  <c r="F167" i="30"/>
  <c r="C167" i="30"/>
  <c r="F166" i="30"/>
  <c r="C166" i="30"/>
  <c r="F165" i="30"/>
  <c r="C165" i="30"/>
  <c r="F164" i="30"/>
  <c r="C164" i="30"/>
  <c r="F163" i="30"/>
  <c r="C163" i="30"/>
  <c r="G479" i="30" s="1"/>
  <c r="H479" i="30" s="1"/>
  <c r="F162" i="30"/>
  <c r="C162" i="30"/>
  <c r="G478" i="30" s="1"/>
  <c r="H478" i="30" s="1"/>
  <c r="F161" i="30"/>
  <c r="C161" i="30"/>
  <c r="F160" i="30"/>
  <c r="C160" i="30"/>
  <c r="F159" i="30"/>
  <c r="C159" i="30"/>
  <c r="F158" i="30"/>
  <c r="C158" i="30"/>
  <c r="G474" i="30" s="1"/>
  <c r="H474" i="30" s="1"/>
  <c r="F157" i="30"/>
  <c r="C157" i="30"/>
  <c r="F156" i="30"/>
  <c r="C156" i="30"/>
  <c r="F155" i="30"/>
  <c r="C155" i="30"/>
  <c r="F154" i="30"/>
  <c r="C154" i="30"/>
  <c r="G470" i="30" s="1"/>
  <c r="H470" i="30" s="1"/>
  <c r="F153" i="30"/>
  <c r="C153" i="30"/>
  <c r="G469" i="30" s="1"/>
  <c r="H469" i="30" s="1"/>
  <c r="F152" i="30"/>
  <c r="C152" i="30"/>
  <c r="F151" i="30"/>
  <c r="C151" i="30"/>
  <c r="F150" i="30"/>
  <c r="C150" i="30"/>
  <c r="F149" i="30"/>
  <c r="C149" i="30"/>
  <c r="F148" i="30"/>
  <c r="C148" i="30"/>
  <c r="F147" i="30"/>
  <c r="C147" i="30"/>
  <c r="G463" i="30" s="1"/>
  <c r="H463" i="30" s="1"/>
  <c r="F146" i="30"/>
  <c r="C146" i="30"/>
  <c r="G462" i="30" s="1"/>
  <c r="H462" i="30" s="1"/>
  <c r="F145" i="30"/>
  <c r="C145" i="30"/>
  <c r="F144" i="30"/>
  <c r="C144" i="30"/>
  <c r="F143" i="30"/>
  <c r="C143" i="30"/>
  <c r="F142" i="30"/>
  <c r="C142" i="30"/>
  <c r="G458" i="30" s="1"/>
  <c r="H458" i="30" s="1"/>
  <c r="F141" i="30"/>
  <c r="C141" i="30"/>
  <c r="F140" i="30"/>
  <c r="C140" i="30"/>
  <c r="F139" i="30"/>
  <c r="C139" i="30"/>
  <c r="F138" i="30"/>
  <c r="C138" i="30"/>
  <c r="G454" i="30" s="1"/>
  <c r="H454" i="30" s="1"/>
  <c r="F137" i="30"/>
  <c r="C137" i="30"/>
  <c r="G453" i="30" s="1"/>
  <c r="H453" i="30" s="1"/>
  <c r="F136" i="30"/>
  <c r="C136" i="30"/>
  <c r="F135" i="30"/>
  <c r="C135" i="30"/>
  <c r="F134" i="30"/>
  <c r="C134" i="30"/>
  <c r="F133" i="30"/>
  <c r="C133" i="30"/>
  <c r="F132" i="30"/>
  <c r="C132" i="30"/>
  <c r="F131" i="30"/>
  <c r="C131" i="30"/>
  <c r="G447" i="30" s="1"/>
  <c r="H447" i="30" s="1"/>
  <c r="F130" i="30"/>
  <c r="C130" i="30"/>
  <c r="G446" i="30" s="1"/>
  <c r="H446" i="30" s="1"/>
  <c r="F129" i="30"/>
  <c r="C129" i="30"/>
  <c r="F128" i="30"/>
  <c r="C128" i="30"/>
  <c r="F127" i="30"/>
  <c r="C127" i="30"/>
  <c r="F126" i="30"/>
  <c r="C126" i="30"/>
  <c r="F125" i="30"/>
  <c r="C125" i="30"/>
  <c r="F124" i="30"/>
  <c r="C124" i="30"/>
  <c r="F123" i="30"/>
  <c r="C123" i="30"/>
  <c r="F122" i="30"/>
  <c r="C122" i="30"/>
  <c r="G438" i="30" s="1"/>
  <c r="H438" i="30" s="1"/>
  <c r="F121" i="30"/>
  <c r="C121" i="30"/>
  <c r="G437" i="30" s="1"/>
  <c r="H437" i="30" s="1"/>
  <c r="F120" i="30"/>
  <c r="C120" i="30"/>
  <c r="F119" i="30"/>
  <c r="C119" i="30"/>
  <c r="F118" i="30"/>
  <c r="C118" i="30"/>
  <c r="F117" i="30"/>
  <c r="C117" i="30"/>
  <c r="F116" i="30"/>
  <c r="C116" i="30"/>
  <c r="F115" i="30"/>
  <c r="C115" i="30"/>
  <c r="G431" i="30" s="1"/>
  <c r="F114" i="30"/>
  <c r="C114" i="30"/>
  <c r="G430" i="30" s="1"/>
  <c r="H430" i="30" s="1"/>
  <c r="F113" i="30"/>
  <c r="C113" i="30"/>
  <c r="F112" i="30"/>
  <c r="C112" i="30"/>
  <c r="F111" i="30"/>
  <c r="C111" i="30"/>
  <c r="F110" i="30"/>
  <c r="C110" i="30"/>
  <c r="G425" i="30" s="1"/>
  <c r="H425" i="30" s="1"/>
  <c r="F109" i="30"/>
  <c r="C109" i="30"/>
  <c r="F108" i="30"/>
  <c r="C108" i="30"/>
  <c r="F107" i="30"/>
  <c r="C107" i="30"/>
  <c r="F106" i="30"/>
  <c r="C106" i="30"/>
  <c r="G422" i="30" s="1"/>
  <c r="H422" i="30" s="1"/>
  <c r="F105" i="30"/>
  <c r="C105" i="30"/>
  <c r="G421" i="30" s="1"/>
  <c r="H421" i="30" s="1"/>
  <c r="F104" i="30"/>
  <c r="C104" i="30"/>
  <c r="F103" i="30"/>
  <c r="C103" i="30"/>
  <c r="F102" i="30"/>
  <c r="C102" i="30"/>
  <c r="F101" i="30"/>
  <c r="C101" i="30"/>
  <c r="F100" i="30"/>
  <c r="C100" i="30"/>
  <c r="G416" i="30" s="1"/>
  <c r="H416" i="30" s="1"/>
  <c r="F99" i="30"/>
  <c r="C99" i="30"/>
  <c r="G415" i="30" s="1"/>
  <c r="F98" i="30"/>
  <c r="C98" i="30"/>
  <c r="G414" i="30" s="1"/>
  <c r="H414" i="30" s="1"/>
  <c r="F97" i="30"/>
  <c r="C97" i="30"/>
  <c r="F96" i="30"/>
  <c r="C96" i="30"/>
  <c r="F95" i="30"/>
  <c r="C95" i="30"/>
  <c r="F94" i="30"/>
  <c r="C94" i="30"/>
  <c r="F93" i="30"/>
  <c r="C93" i="30"/>
  <c r="F92" i="30"/>
  <c r="C92" i="30"/>
  <c r="F91" i="30"/>
  <c r="C91" i="30"/>
  <c r="F90" i="30"/>
  <c r="C90" i="30"/>
  <c r="G406" i="30" s="1"/>
  <c r="H406" i="30" s="1"/>
  <c r="F89" i="30"/>
  <c r="C89" i="30"/>
  <c r="G405" i="30" s="1"/>
  <c r="H405" i="30" s="1"/>
  <c r="F88" i="30"/>
  <c r="C88" i="30"/>
  <c r="F87" i="30"/>
  <c r="C87" i="30"/>
  <c r="F86" i="30"/>
  <c r="C86" i="30"/>
  <c r="F85" i="30"/>
  <c r="C85" i="30"/>
  <c r="F84" i="30"/>
  <c r="C84" i="30"/>
  <c r="F83" i="30"/>
  <c r="C83" i="30"/>
  <c r="G399" i="30" s="1"/>
  <c r="H399" i="30" s="1"/>
  <c r="F82" i="30"/>
  <c r="C82" i="30"/>
  <c r="G398" i="30" s="1"/>
  <c r="H398" i="30" s="1"/>
  <c r="F81" i="30"/>
  <c r="C81" i="30"/>
  <c r="F80" i="30"/>
  <c r="C80" i="30"/>
  <c r="F79" i="30"/>
  <c r="C79" i="30"/>
  <c r="F78" i="30"/>
  <c r="C78" i="30"/>
  <c r="G394" i="30" s="1"/>
  <c r="H394" i="30" s="1"/>
  <c r="F77" i="30"/>
  <c r="C77" i="30"/>
  <c r="F76" i="30"/>
  <c r="C76" i="30"/>
  <c r="F75" i="30"/>
  <c r="C75" i="30"/>
  <c r="F74" i="30"/>
  <c r="C74" i="30"/>
  <c r="G390" i="30" s="1"/>
  <c r="H390" i="30" s="1"/>
  <c r="F73" i="30"/>
  <c r="C73" i="30"/>
  <c r="G389" i="30" s="1"/>
  <c r="H389" i="30" s="1"/>
  <c r="F72" i="30"/>
  <c r="C72" i="30"/>
  <c r="F71" i="30"/>
  <c r="C71" i="30"/>
  <c r="F70" i="30"/>
  <c r="C70" i="30"/>
  <c r="F69" i="30"/>
  <c r="C69" i="30"/>
  <c r="F68" i="30"/>
  <c r="C68" i="30"/>
  <c r="F67" i="30"/>
  <c r="C67" i="30"/>
  <c r="G383" i="30" s="1"/>
  <c r="H383" i="30" s="1"/>
  <c r="F66" i="30"/>
  <c r="C66" i="30"/>
  <c r="G382" i="30" s="1"/>
  <c r="H382" i="30" s="1"/>
  <c r="F65" i="30"/>
  <c r="C65" i="30"/>
  <c r="F64" i="30"/>
  <c r="C64" i="30"/>
  <c r="F63" i="30"/>
  <c r="C63" i="30"/>
  <c r="F62" i="30"/>
  <c r="C62" i="30"/>
  <c r="G378" i="30" s="1"/>
  <c r="H378" i="30" s="1"/>
  <c r="F61" i="30"/>
  <c r="C61" i="30"/>
  <c r="F60" i="30"/>
  <c r="C60" i="30"/>
  <c r="F59" i="30"/>
  <c r="C59" i="30"/>
  <c r="F58" i="30"/>
  <c r="C58" i="30"/>
  <c r="G374" i="30" s="1"/>
  <c r="H374" i="30" s="1"/>
  <c r="F57" i="30"/>
  <c r="C57" i="30"/>
  <c r="G373" i="30" s="1"/>
  <c r="H373" i="30" s="1"/>
  <c r="F56" i="30"/>
  <c r="C56" i="30"/>
  <c r="F55" i="30"/>
  <c r="C55" i="30"/>
  <c r="F54" i="30"/>
  <c r="C54" i="30"/>
  <c r="F53" i="30"/>
  <c r="C53" i="30"/>
  <c r="F52" i="30"/>
  <c r="C52" i="30"/>
  <c r="F51" i="30"/>
  <c r="C51" i="30"/>
  <c r="G367" i="30" s="1"/>
  <c r="F50" i="30"/>
  <c r="C50" i="30"/>
  <c r="G366" i="30" s="1"/>
  <c r="H366" i="30" s="1"/>
  <c r="F49" i="30"/>
  <c r="C49" i="30"/>
  <c r="F48" i="30"/>
  <c r="C48" i="30"/>
  <c r="F47" i="30"/>
  <c r="C47" i="30"/>
  <c r="F46" i="30"/>
  <c r="C46" i="30"/>
  <c r="G362" i="30" s="1"/>
  <c r="H362" i="30" s="1"/>
  <c r="F45" i="30"/>
  <c r="C45" i="30"/>
  <c r="F44" i="30"/>
  <c r="C44" i="30"/>
  <c r="F43" i="30"/>
  <c r="C43" i="30"/>
  <c r="F42" i="30"/>
  <c r="C42" i="30"/>
  <c r="G358" i="30" s="1"/>
  <c r="H358" i="30" s="1"/>
  <c r="F41" i="30"/>
  <c r="C41" i="30"/>
  <c r="G357" i="30" s="1"/>
  <c r="H357" i="30" s="1"/>
  <c r="F40" i="30"/>
  <c r="C40" i="30"/>
  <c r="F39" i="30"/>
  <c r="C39" i="30"/>
  <c r="F38" i="30"/>
  <c r="C38" i="30"/>
  <c r="F37" i="30"/>
  <c r="C37" i="30"/>
  <c r="F36" i="30"/>
  <c r="C36" i="30"/>
  <c r="F35" i="30"/>
  <c r="C35" i="30"/>
  <c r="G351" i="30" s="1"/>
  <c r="H351" i="30" s="1"/>
  <c r="F34" i="30"/>
  <c r="C34" i="30"/>
  <c r="G350" i="30" s="1"/>
  <c r="H350" i="30" s="1"/>
  <c r="F33" i="30"/>
  <c r="C33" i="30"/>
  <c r="F32" i="30"/>
  <c r="C32" i="30"/>
  <c r="F31" i="30"/>
  <c r="C31" i="30"/>
  <c r="F30" i="30"/>
  <c r="C30" i="30"/>
  <c r="F29" i="30"/>
  <c r="C29" i="30"/>
  <c r="F28" i="30"/>
  <c r="C28" i="30"/>
  <c r="F27" i="30"/>
  <c r="C27" i="30"/>
  <c r="F26" i="30"/>
  <c r="C26" i="30"/>
  <c r="G342" i="30" s="1"/>
  <c r="H342" i="30" s="1"/>
  <c r="F25" i="30"/>
  <c r="C25" i="30"/>
  <c r="G341" i="30" s="1"/>
  <c r="H341" i="30" s="1"/>
  <c r="F24" i="30"/>
  <c r="C24" i="30"/>
  <c r="F23" i="30"/>
  <c r="C23" i="30"/>
  <c r="F22" i="30"/>
  <c r="C22" i="30"/>
  <c r="F21" i="30"/>
  <c r="C21" i="30"/>
  <c r="F20" i="30"/>
  <c r="C20" i="30"/>
  <c r="F19" i="30"/>
  <c r="C19" i="30"/>
  <c r="G335" i="30" s="1"/>
  <c r="H335" i="30" s="1"/>
  <c r="F18" i="30"/>
  <c r="C18" i="30"/>
  <c r="G334" i="30" s="1"/>
  <c r="H334" i="30" s="1"/>
  <c r="F17" i="30"/>
  <c r="C17" i="30"/>
  <c r="F16" i="30"/>
  <c r="C16" i="30"/>
  <c r="F15" i="30"/>
  <c r="C15" i="30"/>
  <c r="F14" i="30"/>
  <c r="C14" i="30"/>
  <c r="G329" i="30" s="1"/>
  <c r="F13" i="30"/>
  <c r="C13" i="30"/>
  <c r="F12" i="30"/>
  <c r="C12" i="30"/>
  <c r="G327" i="30" s="1"/>
  <c r="H327" i="30" s="1"/>
  <c r="F11" i="30"/>
  <c r="C11" i="30"/>
  <c r="F10" i="30"/>
  <c r="C10" i="30"/>
  <c r="G325" i="30" s="1"/>
  <c r="H325" i="30" s="1"/>
  <c r="F9" i="30"/>
  <c r="C9" i="30"/>
  <c r="G322" i="30" s="1"/>
  <c r="H322" i="30" s="1"/>
  <c r="Z37" i="13"/>
  <c r="Y37" i="13"/>
  <c r="Z24" i="13"/>
  <c r="AA10" i="13"/>
  <c r="Z10" i="13"/>
  <c r="Y10" i="13"/>
  <c r="Z36" i="13"/>
  <c r="R26" i="13"/>
  <c r="AB26" i="13"/>
  <c r="AA26" i="13"/>
  <c r="Z26" i="13"/>
  <c r="Y26" i="13"/>
  <c r="AA25" i="13"/>
  <c r="Z25" i="13"/>
  <c r="Y25" i="13"/>
  <c r="Y24" i="13"/>
  <c r="P9" i="13"/>
  <c r="P26" i="13"/>
  <c r="N22" i="13"/>
  <c r="F18" i="11"/>
  <c r="AK318" i="22"/>
  <c r="AK317" i="22"/>
  <c r="AK316" i="22"/>
  <c r="AK313" i="22"/>
  <c r="AK312" i="22"/>
  <c r="AK311" i="22"/>
  <c r="AK310" i="22"/>
  <c r="AK309" i="22"/>
  <c r="AK308" i="22"/>
  <c r="AK307" i="22"/>
  <c r="AK306" i="22"/>
  <c r="AK305" i="22"/>
  <c r="AK304" i="22"/>
  <c r="AK303" i="22"/>
  <c r="AK302" i="22"/>
  <c r="AK301" i="22"/>
  <c r="AK300" i="22"/>
  <c r="AK299" i="22"/>
  <c r="AK298" i="22"/>
  <c r="AK297" i="22"/>
  <c r="AK296" i="22"/>
  <c r="AK295" i="22"/>
  <c r="AK294" i="22"/>
  <c r="AK293" i="22"/>
  <c r="AK292" i="22"/>
  <c r="AK291" i="22"/>
  <c r="AK290" i="22"/>
  <c r="AK289" i="22"/>
  <c r="AK288" i="22"/>
  <c r="AK287" i="22"/>
  <c r="AK286" i="22"/>
  <c r="AK285" i="22"/>
  <c r="AK284" i="22"/>
  <c r="AK283" i="22"/>
  <c r="AK282" i="22"/>
  <c r="AK281" i="22"/>
  <c r="AK280" i="22"/>
  <c r="AK279" i="22"/>
  <c r="AK278" i="22"/>
  <c r="AK277" i="22"/>
  <c r="AK276" i="22"/>
  <c r="AK275" i="22"/>
  <c r="AK274" i="22"/>
  <c r="AK273" i="22"/>
  <c r="AK272" i="22"/>
  <c r="AK271" i="22"/>
  <c r="AK270" i="22"/>
  <c r="AK269" i="22"/>
  <c r="AK268" i="22"/>
  <c r="AK267" i="22"/>
  <c r="AK266" i="22"/>
  <c r="AK265" i="22"/>
  <c r="AK264" i="22"/>
  <c r="AK263" i="22"/>
  <c r="AK262" i="22"/>
  <c r="AK261" i="22"/>
  <c r="AK260" i="22"/>
  <c r="AK259" i="22"/>
  <c r="AK258" i="22"/>
  <c r="AK257" i="22"/>
  <c r="AK195" i="22"/>
  <c r="AK256" i="22"/>
  <c r="AK255" i="22"/>
  <c r="AK254" i="22"/>
  <c r="AK253" i="22"/>
  <c r="AK252" i="22"/>
  <c r="AK251" i="22"/>
  <c r="AK250" i="22"/>
  <c r="AK249" i="22"/>
  <c r="AK248" i="22"/>
  <c r="AK247" i="22"/>
  <c r="AK246" i="22"/>
  <c r="AK245" i="22"/>
  <c r="AK244" i="22"/>
  <c r="AK243" i="22"/>
  <c r="AK242" i="22"/>
  <c r="AK241" i="22"/>
  <c r="AK240" i="22"/>
  <c r="AK239" i="22"/>
  <c r="AK238" i="22"/>
  <c r="AK237" i="22"/>
  <c r="AK236" i="22"/>
  <c r="AK235" i="22"/>
  <c r="AK234" i="22"/>
  <c r="AK233" i="22"/>
  <c r="AK232" i="22"/>
  <c r="AK231" i="22"/>
  <c r="AK230" i="22"/>
  <c r="AK229" i="22"/>
  <c r="AK228" i="22"/>
  <c r="AK227" i="22"/>
  <c r="AK226" i="22"/>
  <c r="AK225" i="22"/>
  <c r="AK224" i="22"/>
  <c r="AK223" i="22"/>
  <c r="AK222" i="22"/>
  <c r="AK221" i="22"/>
  <c r="AK220" i="22"/>
  <c r="AK219" i="22"/>
  <c r="AK218" i="22"/>
  <c r="AK217" i="22"/>
  <c r="AK216" i="22"/>
  <c r="AK215" i="22"/>
  <c r="AK214" i="22"/>
  <c r="AK213" i="22"/>
  <c r="AK212" i="22"/>
  <c r="AK211" i="22"/>
  <c r="AK210" i="22"/>
  <c r="AK209" i="22"/>
  <c r="AK208" i="22"/>
  <c r="AK207" i="22"/>
  <c r="AK206" i="22"/>
  <c r="AK205" i="22"/>
  <c r="AK204" i="22"/>
  <c r="AK203" i="22"/>
  <c r="AK202" i="22"/>
  <c r="AK201" i="22"/>
  <c r="AK200" i="22"/>
  <c r="AK199" i="22"/>
  <c r="AK198" i="22"/>
  <c r="AK197" i="22"/>
  <c r="AK196" i="22"/>
  <c r="AK194" i="22"/>
  <c r="AK193" i="22"/>
  <c r="AK192" i="22"/>
  <c r="AK191" i="22"/>
  <c r="AK190" i="22"/>
  <c r="AK189" i="22"/>
  <c r="AK188" i="22"/>
  <c r="AK187" i="22"/>
  <c r="AK186" i="22"/>
  <c r="AK185" i="22"/>
  <c r="AK184" i="22"/>
  <c r="AK183" i="22"/>
  <c r="AK182" i="22"/>
  <c r="AK181" i="22"/>
  <c r="AK180" i="22"/>
  <c r="AK179" i="22"/>
  <c r="AK178" i="22"/>
  <c r="AK177" i="22"/>
  <c r="AK176" i="22"/>
  <c r="AK175" i="22"/>
  <c r="AK174" i="22"/>
  <c r="AK173" i="22"/>
  <c r="AK172" i="22"/>
  <c r="AK171" i="22"/>
  <c r="AK170" i="22"/>
  <c r="AK169" i="22"/>
  <c r="AK168" i="22"/>
  <c r="AK167" i="22"/>
  <c r="AK166" i="22"/>
  <c r="AK165" i="22"/>
  <c r="AK164" i="22"/>
  <c r="AK163" i="22"/>
  <c r="AK162" i="22"/>
  <c r="AK161" i="22"/>
  <c r="AK160" i="22"/>
  <c r="AK159" i="22"/>
  <c r="AK158" i="22"/>
  <c r="AK157" i="22"/>
  <c r="AK156" i="22"/>
  <c r="AK155" i="22"/>
  <c r="AK154" i="22"/>
  <c r="AK153" i="22"/>
  <c r="AK152" i="22"/>
  <c r="AK151" i="22"/>
  <c r="AK150" i="22"/>
  <c r="AK149" i="22"/>
  <c r="AK148" i="22"/>
  <c r="AK147" i="22"/>
  <c r="AK146" i="22"/>
  <c r="AK145" i="22"/>
  <c r="AK144" i="22"/>
  <c r="AK143" i="22"/>
  <c r="AK142" i="22"/>
  <c r="AK141" i="22"/>
  <c r="AK140" i="22"/>
  <c r="AK139" i="22"/>
  <c r="AK138" i="22"/>
  <c r="AK137" i="22"/>
  <c r="AK136" i="22"/>
  <c r="AK135" i="22"/>
  <c r="AK134" i="22"/>
  <c r="AK133" i="22"/>
  <c r="AK132" i="22"/>
  <c r="AK131" i="22"/>
  <c r="AK130" i="22"/>
  <c r="AK129" i="22"/>
  <c r="AK128" i="22"/>
  <c r="AK127" i="22"/>
  <c r="AK126" i="22"/>
  <c r="AK125" i="22"/>
  <c r="AK124" i="22"/>
  <c r="AK123" i="22"/>
  <c r="AK122" i="22"/>
  <c r="AK121" i="22"/>
  <c r="AK120" i="22"/>
  <c r="AK119" i="22"/>
  <c r="AK118" i="22"/>
  <c r="AK117" i="22"/>
  <c r="AK116" i="22"/>
  <c r="AK115" i="22"/>
  <c r="AK114" i="22"/>
  <c r="AK113" i="22"/>
  <c r="AK112" i="22"/>
  <c r="AK111" i="22"/>
  <c r="AK110" i="22"/>
  <c r="AK109" i="22"/>
  <c r="AK108" i="22"/>
  <c r="AK107" i="22"/>
  <c r="AK106" i="22"/>
  <c r="AK105" i="22"/>
  <c r="AK104" i="22"/>
  <c r="AK102" i="22"/>
  <c r="AK101" i="22"/>
  <c r="AK100" i="22"/>
  <c r="AK99" i="22"/>
  <c r="AK98" i="22"/>
  <c r="AK97" i="22"/>
  <c r="AK96" i="22"/>
  <c r="AK95" i="22"/>
  <c r="AK94" i="22"/>
  <c r="AK93" i="22"/>
  <c r="AK92" i="22"/>
  <c r="AK91" i="22"/>
  <c r="AK90" i="22"/>
  <c r="AK89" i="22"/>
  <c r="AK88" i="22"/>
  <c r="AK87" i="22"/>
  <c r="AK86" i="22"/>
  <c r="AK85" i="22"/>
  <c r="AK84" i="22"/>
  <c r="AK83" i="22"/>
  <c r="AK82" i="22"/>
  <c r="AK81" i="22"/>
  <c r="AK80" i="22"/>
  <c r="AK79" i="22"/>
  <c r="AK78" i="22"/>
  <c r="AK77" i="22"/>
  <c r="AK76" i="22"/>
  <c r="AK75" i="22"/>
  <c r="AK74" i="22"/>
  <c r="AK73" i="22"/>
  <c r="AK72" i="22"/>
  <c r="AK71" i="22"/>
  <c r="AK70" i="22"/>
  <c r="AK69" i="22"/>
  <c r="AK68" i="22"/>
  <c r="AK67" i="22"/>
  <c r="AK66" i="22"/>
  <c r="AK65" i="22"/>
  <c r="AK64" i="22"/>
  <c r="AK63" i="22"/>
  <c r="AK62" i="22"/>
  <c r="AK61" i="22"/>
  <c r="AK60" i="22"/>
  <c r="AK59" i="22"/>
  <c r="AK58" i="22"/>
  <c r="AK57" i="22"/>
  <c r="AK56" i="22"/>
  <c r="AK55" i="22"/>
  <c r="AK54" i="22"/>
  <c r="AK53" i="22"/>
  <c r="AK52" i="22"/>
  <c r="AK51" i="22"/>
  <c r="AK50" i="22"/>
  <c r="AK49" i="22"/>
  <c r="AK48" i="22"/>
  <c r="AK47" i="22"/>
  <c r="AK46" i="22"/>
  <c r="AK45" i="22"/>
  <c r="AK44" i="22"/>
  <c r="AK43" i="22"/>
  <c r="AK42" i="22"/>
  <c r="AK41" i="22"/>
  <c r="AK40" i="22"/>
  <c r="AK39" i="22"/>
  <c r="AK38" i="22"/>
  <c r="AK37" i="22"/>
  <c r="AK36" i="22"/>
  <c r="AK35" i="22"/>
  <c r="AK34" i="22"/>
  <c r="AK33" i="22"/>
  <c r="AK32" i="22"/>
  <c r="AK31" i="22"/>
  <c r="AK30" i="22"/>
  <c r="AK29" i="22"/>
  <c r="AK28" i="22"/>
  <c r="AK27" i="22"/>
  <c r="AK26" i="22"/>
  <c r="AK25" i="22"/>
  <c r="AK24" i="22"/>
  <c r="AK23" i="22"/>
  <c r="AK22" i="22"/>
  <c r="AK21" i="22"/>
  <c r="AK20" i="22"/>
  <c r="AK19" i="22"/>
  <c r="AK18" i="22"/>
  <c r="AK17" i="22"/>
  <c r="AK16" i="22"/>
  <c r="AK15" i="22"/>
  <c r="AK14" i="22"/>
  <c r="AK13" i="22"/>
  <c r="AK12" i="22"/>
  <c r="AK11" i="22"/>
  <c r="AK10" i="22"/>
  <c r="AK9" i="22"/>
  <c r="K326" i="29"/>
  <c r="F196" i="8"/>
  <c r="F266" i="8"/>
  <c r="F252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C252" i="8"/>
  <c r="F314" i="8"/>
  <c r="F9" i="8"/>
  <c r="F629" i="8"/>
  <c r="C266" i="8"/>
  <c r="C112" i="8"/>
  <c r="G427" i="8" s="1"/>
  <c r="H427" i="8" s="1"/>
  <c r="C312" i="8"/>
  <c r="G626" i="8" s="1"/>
  <c r="H626" i="8" s="1"/>
  <c r="C311" i="8"/>
  <c r="G625" i="8" s="1"/>
  <c r="H625" i="8" s="1"/>
  <c r="C310" i="8"/>
  <c r="G624" i="8" s="1"/>
  <c r="H624" i="8" s="1"/>
  <c r="C309" i="8"/>
  <c r="G623" i="8" s="1"/>
  <c r="H623" i="8" s="1"/>
  <c r="C308" i="8"/>
  <c r="G622" i="8" s="1"/>
  <c r="H622" i="8" s="1"/>
  <c r="C307" i="8"/>
  <c r="G621" i="8" s="1"/>
  <c r="H621" i="8" s="1"/>
  <c r="C306" i="8"/>
  <c r="G620" i="8" s="1"/>
  <c r="H620" i="8" s="1"/>
  <c r="C305" i="8"/>
  <c r="G619" i="8" s="1"/>
  <c r="H619" i="8" s="1"/>
  <c r="C304" i="8"/>
  <c r="G618" i="8" s="1"/>
  <c r="H618" i="8" s="1"/>
  <c r="C303" i="8"/>
  <c r="G617" i="8" s="1"/>
  <c r="H617" i="8" s="1"/>
  <c r="C302" i="8"/>
  <c r="G616" i="8" s="1"/>
  <c r="H616" i="8" s="1"/>
  <c r="C301" i="8"/>
  <c r="G615" i="8" s="1"/>
  <c r="H615" i="8" s="1"/>
  <c r="C300" i="8"/>
  <c r="G614" i="8" s="1"/>
  <c r="H614" i="8" s="1"/>
  <c r="C299" i="8"/>
  <c r="G613" i="8" s="1"/>
  <c r="H613" i="8" s="1"/>
  <c r="C298" i="8"/>
  <c r="G612" i="8" s="1"/>
  <c r="H612" i="8" s="1"/>
  <c r="C297" i="8"/>
  <c r="G611" i="8" s="1"/>
  <c r="H611" i="8" s="1"/>
  <c r="C296" i="8"/>
  <c r="G610" i="8" s="1"/>
  <c r="H610" i="8" s="1"/>
  <c r="C295" i="8"/>
  <c r="G609" i="8" s="1"/>
  <c r="H609" i="8" s="1"/>
  <c r="C294" i="8"/>
  <c r="G608" i="8" s="1"/>
  <c r="H608" i="8" s="1"/>
  <c r="C293" i="8"/>
  <c r="G607" i="8" s="1"/>
  <c r="H607" i="8" s="1"/>
  <c r="C292" i="8"/>
  <c r="G606" i="8" s="1"/>
  <c r="H606" i="8" s="1"/>
  <c r="C291" i="8"/>
  <c r="G605" i="8" s="1"/>
  <c r="H605" i="8" s="1"/>
  <c r="C290" i="8"/>
  <c r="G604" i="8" s="1"/>
  <c r="H604" i="8" s="1"/>
  <c r="C289" i="8"/>
  <c r="G603" i="8" s="1"/>
  <c r="H603" i="8" s="1"/>
  <c r="C288" i="8"/>
  <c r="G602" i="8" s="1"/>
  <c r="H602" i="8" s="1"/>
  <c r="C287" i="8"/>
  <c r="G601" i="8" s="1"/>
  <c r="H601" i="8" s="1"/>
  <c r="C286" i="8"/>
  <c r="G600" i="8" s="1"/>
  <c r="H600" i="8" s="1"/>
  <c r="C285" i="8"/>
  <c r="G599" i="8" s="1"/>
  <c r="H599" i="8" s="1"/>
  <c r="C284" i="8"/>
  <c r="G598" i="8" s="1"/>
  <c r="H598" i="8" s="1"/>
  <c r="C283" i="8"/>
  <c r="G597" i="8" s="1"/>
  <c r="H597" i="8" s="1"/>
  <c r="C282" i="8"/>
  <c r="G596" i="8" s="1"/>
  <c r="H596" i="8" s="1"/>
  <c r="C281" i="8"/>
  <c r="G595" i="8" s="1"/>
  <c r="H595" i="8" s="1"/>
  <c r="C280" i="8"/>
  <c r="G594" i="8" s="1"/>
  <c r="H594" i="8" s="1"/>
  <c r="C279" i="8"/>
  <c r="G593" i="8" s="1"/>
  <c r="H593" i="8" s="1"/>
  <c r="C278" i="8"/>
  <c r="G592" i="8" s="1"/>
  <c r="H592" i="8" s="1"/>
  <c r="C277" i="8"/>
  <c r="G591" i="8" s="1"/>
  <c r="H591" i="8" s="1"/>
  <c r="C276" i="8"/>
  <c r="G590" i="8" s="1"/>
  <c r="H590" i="8" s="1"/>
  <c r="C275" i="8"/>
  <c r="G589" i="8" s="1"/>
  <c r="H589" i="8" s="1"/>
  <c r="C274" i="8"/>
  <c r="C273" i="8"/>
  <c r="G587" i="8" s="1"/>
  <c r="H587" i="8" s="1"/>
  <c r="C272" i="8"/>
  <c r="G586" i="8" s="1"/>
  <c r="H586" i="8" s="1"/>
  <c r="C271" i="8"/>
  <c r="C270" i="8"/>
  <c r="C269" i="8"/>
  <c r="C268" i="8"/>
  <c r="C267" i="8"/>
  <c r="C265" i="8"/>
  <c r="C264" i="8"/>
  <c r="C263" i="8"/>
  <c r="C262" i="8"/>
  <c r="C261" i="8"/>
  <c r="C260" i="8"/>
  <c r="C259" i="8"/>
  <c r="C258" i="8"/>
  <c r="C197" i="8"/>
  <c r="C257" i="8"/>
  <c r="C256" i="8"/>
  <c r="C255" i="8"/>
  <c r="G568" i="8" s="1"/>
  <c r="H568" i="8" s="1"/>
  <c r="C254" i="8"/>
  <c r="C253" i="8"/>
  <c r="C251" i="8"/>
  <c r="G565" i="8" s="1"/>
  <c r="H565" i="8" s="1"/>
  <c r="C250" i="8"/>
  <c r="C249" i="8"/>
  <c r="C248" i="8"/>
  <c r="G562" i="8" s="1"/>
  <c r="H562" i="8" s="1"/>
  <c r="C247" i="8"/>
  <c r="C246" i="8"/>
  <c r="C245" i="8"/>
  <c r="G559" i="8" s="1"/>
  <c r="H559" i="8" s="1"/>
  <c r="C244" i="8"/>
  <c r="C243" i="8"/>
  <c r="C242" i="8"/>
  <c r="C241" i="8"/>
  <c r="C240" i="8"/>
  <c r="G554" i="8" s="1"/>
  <c r="H554" i="8" s="1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G538" i="8" s="1"/>
  <c r="H538" i="8" s="1"/>
  <c r="C223" i="8"/>
  <c r="C222" i="8"/>
  <c r="C221" i="8"/>
  <c r="C220" i="8"/>
  <c r="C219" i="8"/>
  <c r="C218" i="8"/>
  <c r="C217" i="8"/>
  <c r="C216" i="8"/>
  <c r="C215" i="8"/>
  <c r="C214" i="8"/>
  <c r="C213" i="8"/>
  <c r="G527" i="8" s="1"/>
  <c r="H527" i="8" s="1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5" i="8"/>
  <c r="C194" i="8"/>
  <c r="C193" i="8"/>
  <c r="C196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G446" i="8" s="1"/>
  <c r="H446" i="8" s="1"/>
  <c r="C130" i="8"/>
  <c r="C129" i="8"/>
  <c r="C128" i="8"/>
  <c r="C127" i="8"/>
  <c r="G442" i="8" s="1"/>
  <c r="H442" i="8" s="1"/>
  <c r="C126" i="8"/>
  <c r="C125" i="8"/>
  <c r="G440" i="8" s="1"/>
  <c r="H440" i="8" s="1"/>
  <c r="C124" i="8"/>
  <c r="C123" i="8"/>
  <c r="C122" i="8"/>
  <c r="G437" i="8" s="1"/>
  <c r="H437" i="8" s="1"/>
  <c r="C121" i="8"/>
  <c r="G436" i="8" s="1"/>
  <c r="H436" i="8" s="1"/>
  <c r="C120" i="8"/>
  <c r="C119" i="8"/>
  <c r="G434" i="8" s="1"/>
  <c r="H434" i="8" s="1"/>
  <c r="C118" i="8"/>
  <c r="C117" i="8"/>
  <c r="G432" i="8" s="1"/>
  <c r="H432" i="8" s="1"/>
  <c r="C116" i="8"/>
  <c r="C115" i="8"/>
  <c r="G430" i="8" s="1"/>
  <c r="H430" i="8" s="1"/>
  <c r="C114" i="8"/>
  <c r="C113" i="8"/>
  <c r="C111" i="8"/>
  <c r="C110" i="8"/>
  <c r="G426" i="8" s="1"/>
  <c r="H426" i="8" s="1"/>
  <c r="C109" i="8"/>
  <c r="C108" i="8"/>
  <c r="G423" i="8" s="1"/>
  <c r="H423" i="8" s="1"/>
  <c r="C107" i="8"/>
  <c r="C106" i="8"/>
  <c r="G421" i="8" s="1"/>
  <c r="H421" i="8" s="1"/>
  <c r="C104" i="8"/>
  <c r="C103" i="8"/>
  <c r="C102" i="8"/>
  <c r="C101" i="8"/>
  <c r="C100" i="8"/>
  <c r="C99" i="8"/>
  <c r="C98" i="8"/>
  <c r="C97" i="8"/>
  <c r="C96" i="8"/>
  <c r="C95" i="8"/>
  <c r="C94" i="8"/>
  <c r="C93" i="8"/>
  <c r="G409" i="8" s="1"/>
  <c r="H409" i="8" s="1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G393" i="8" s="1"/>
  <c r="H393" i="8" s="1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G377" i="8" s="1"/>
  <c r="H377" i="8" s="1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G361" i="8" s="1"/>
  <c r="H361" i="8" s="1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G337" i="8" s="1"/>
  <c r="H337" i="8" s="1"/>
  <c r="C20" i="8"/>
  <c r="C19" i="8"/>
  <c r="C18" i="8"/>
  <c r="C17" i="8"/>
  <c r="C16" i="8"/>
  <c r="C15" i="8"/>
  <c r="C14" i="8"/>
  <c r="C13" i="8"/>
  <c r="C12" i="8"/>
  <c r="C11" i="8"/>
  <c r="C10" i="8"/>
  <c r="C9" i="8"/>
  <c r="G322" i="8" s="1"/>
  <c r="H322" i="8" s="1"/>
  <c r="C314" i="8"/>
  <c r="G628" i="8" s="1"/>
  <c r="H628" i="8" s="1"/>
  <c r="G627" i="8"/>
  <c r="H627" i="8" s="1"/>
  <c r="P25" i="13"/>
  <c r="Q321" i="9"/>
  <c r="H16" i="11"/>
  <c r="G560" i="8" l="1"/>
  <c r="H560" i="8" s="1"/>
  <c r="G433" i="8"/>
  <c r="H433" i="8" s="1"/>
  <c r="G561" i="8"/>
  <c r="H561" i="8" s="1"/>
  <c r="G558" i="8"/>
  <c r="H558" i="8" s="1"/>
  <c r="G338" i="8"/>
  <c r="H338" i="8" s="1"/>
  <c r="G435" i="8"/>
  <c r="H435" i="8" s="1"/>
  <c r="G563" i="8"/>
  <c r="H563" i="8" s="1"/>
  <c r="G339" i="8"/>
  <c r="H339" i="8" s="1"/>
  <c r="G564" i="8"/>
  <c r="H564" i="8" s="1"/>
  <c r="G438" i="8"/>
  <c r="H438" i="8" s="1"/>
  <c r="G454" i="8"/>
  <c r="H454" i="8" s="1"/>
  <c r="G567" i="8"/>
  <c r="H567" i="8" s="1"/>
  <c r="G422" i="8"/>
  <c r="H422" i="8" s="1"/>
  <c r="G439" i="8"/>
  <c r="H439" i="8" s="1"/>
  <c r="G424" i="8"/>
  <c r="H424" i="8" s="1"/>
  <c r="G441" i="8"/>
  <c r="H441" i="8" s="1"/>
  <c r="G443" i="8"/>
  <c r="H443" i="8" s="1"/>
  <c r="G444" i="8"/>
  <c r="H444" i="8" s="1"/>
  <c r="G428" i="8"/>
  <c r="H428" i="8" s="1"/>
  <c r="G429" i="8"/>
  <c r="H429" i="8" s="1"/>
  <c r="G445" i="8"/>
  <c r="H445" i="8" s="1"/>
  <c r="G557" i="8"/>
  <c r="H557" i="8" s="1"/>
  <c r="G431" i="8"/>
  <c r="H431" i="8" s="1"/>
  <c r="G447" i="8"/>
  <c r="H447" i="8" s="1"/>
  <c r="G500" i="8"/>
  <c r="H500" i="8" s="1"/>
  <c r="G355" i="8"/>
  <c r="H355" i="8" s="1"/>
  <c r="G371" i="8"/>
  <c r="H371" i="8" s="1"/>
  <c r="G387" i="8"/>
  <c r="H387" i="8" s="1"/>
  <c r="G403" i="8"/>
  <c r="H403" i="8" s="1"/>
  <c r="G419" i="8"/>
  <c r="H419" i="8" s="1"/>
  <c r="G452" i="8"/>
  <c r="H452" i="8" s="1"/>
  <c r="G532" i="8"/>
  <c r="H532" i="8" s="1"/>
  <c r="G548" i="8"/>
  <c r="H548" i="8" s="1"/>
  <c r="G345" i="8"/>
  <c r="H345" i="8" s="1"/>
  <c r="G458" i="8"/>
  <c r="H458" i="8" s="1"/>
  <c r="G522" i="8"/>
  <c r="H522" i="8" s="1"/>
  <c r="G570" i="8"/>
  <c r="H570" i="8" s="1"/>
  <c r="G505" i="8"/>
  <c r="H505" i="8" s="1"/>
  <c r="G474" i="8"/>
  <c r="H474" i="8" s="1"/>
  <c r="G346" i="8"/>
  <c r="H346" i="8" s="1"/>
  <c r="G459" i="8"/>
  <c r="H459" i="8" s="1"/>
  <c r="G491" i="8"/>
  <c r="H491" i="8" s="1"/>
  <c r="G523" i="8"/>
  <c r="H523" i="8" s="1"/>
  <c r="G571" i="8"/>
  <c r="H571" i="8" s="1"/>
  <c r="G490" i="8"/>
  <c r="H490" i="8" s="1"/>
  <c r="G507" i="8"/>
  <c r="H507" i="8" s="1"/>
  <c r="G420" i="8"/>
  <c r="H420" i="8" s="1"/>
  <c r="G353" i="8"/>
  <c r="H353" i="8" s="1"/>
  <c r="G369" i="8"/>
  <c r="H369" i="8" s="1"/>
  <c r="G385" i="8"/>
  <c r="H385" i="8" s="1"/>
  <c r="G401" i="8"/>
  <c r="H401" i="8" s="1"/>
  <c r="G417" i="8"/>
  <c r="H417" i="8" s="1"/>
  <c r="G450" i="8"/>
  <c r="H450" i="8" s="1"/>
  <c r="G530" i="8"/>
  <c r="H530" i="8" s="1"/>
  <c r="G546" i="8"/>
  <c r="H546" i="8" s="1"/>
  <c r="G578" i="8"/>
  <c r="H578" i="8" s="1"/>
  <c r="G512" i="8"/>
  <c r="H512" i="8" s="1"/>
  <c r="G332" i="8"/>
  <c r="H332" i="8" s="1"/>
  <c r="G575" i="8"/>
  <c r="H575" i="8" s="1"/>
  <c r="G479" i="8"/>
  <c r="H479" i="8" s="1"/>
  <c r="G467" i="8"/>
  <c r="H467" i="8" s="1"/>
  <c r="G483" i="8"/>
  <c r="H483" i="8" s="1"/>
  <c r="G499" i="8"/>
  <c r="H499" i="8" s="1"/>
  <c r="G468" i="8"/>
  <c r="H468" i="8" s="1"/>
  <c r="G484" i="8"/>
  <c r="H484" i="8" s="1"/>
  <c r="G516" i="8"/>
  <c r="H516" i="8" s="1"/>
  <c r="G581" i="8"/>
  <c r="H581" i="8" s="1"/>
  <c r="G356" i="8"/>
  <c r="H356" i="8" s="1"/>
  <c r="G372" i="8"/>
  <c r="H372" i="8" s="1"/>
  <c r="G388" i="8"/>
  <c r="H388" i="8" s="1"/>
  <c r="G404" i="8"/>
  <c r="H404" i="8" s="1"/>
  <c r="G501" i="8"/>
  <c r="H501" i="8" s="1"/>
  <c r="G517" i="8"/>
  <c r="H517" i="8" s="1"/>
  <c r="G533" i="8"/>
  <c r="H533" i="8" s="1"/>
  <c r="G549" i="8"/>
  <c r="H549" i="8" s="1"/>
  <c r="G327" i="8"/>
  <c r="H327" i="8" s="1"/>
  <c r="G473" i="8"/>
  <c r="H473" i="8" s="1"/>
  <c r="G489" i="8"/>
  <c r="H489" i="8" s="1"/>
  <c r="G493" i="8"/>
  <c r="H493" i="8" s="1"/>
  <c r="G333" i="8"/>
  <c r="H333" i="8" s="1"/>
  <c r="G462" i="8"/>
  <c r="H462" i="8" s="1"/>
  <c r="G494" i="8"/>
  <c r="H494" i="8" s="1"/>
  <c r="G350" i="8"/>
  <c r="H350" i="8" s="1"/>
  <c r="G366" i="8"/>
  <c r="H366" i="8" s="1"/>
  <c r="G382" i="8"/>
  <c r="H382" i="8" s="1"/>
  <c r="G398" i="8"/>
  <c r="H398" i="8" s="1"/>
  <c r="G414" i="8"/>
  <c r="H414" i="8" s="1"/>
  <c r="G510" i="8"/>
  <c r="H510" i="8" s="1"/>
  <c r="G543" i="8"/>
  <c r="H543" i="8" s="1"/>
  <c r="G466" i="8"/>
  <c r="H466" i="8" s="1"/>
  <c r="G482" i="8"/>
  <c r="H482" i="8" s="1"/>
  <c r="G498" i="8"/>
  <c r="H498" i="8" s="1"/>
  <c r="G514" i="8"/>
  <c r="H514" i="8" s="1"/>
  <c r="G326" i="8"/>
  <c r="H326" i="8" s="1"/>
  <c r="G343" i="8"/>
  <c r="H343" i="8" s="1"/>
  <c r="G359" i="8"/>
  <c r="H359" i="8" s="1"/>
  <c r="G375" i="8"/>
  <c r="H375" i="8" s="1"/>
  <c r="G391" i="8"/>
  <c r="H391" i="8" s="1"/>
  <c r="G407" i="8"/>
  <c r="H407" i="8" s="1"/>
  <c r="G456" i="8"/>
  <c r="H456" i="8" s="1"/>
  <c r="G472" i="8"/>
  <c r="H472" i="8" s="1"/>
  <c r="G488" i="8"/>
  <c r="H488" i="8" s="1"/>
  <c r="G504" i="8"/>
  <c r="H504" i="8" s="1"/>
  <c r="G520" i="8"/>
  <c r="H520" i="8" s="1"/>
  <c r="G536" i="8"/>
  <c r="H536" i="8" s="1"/>
  <c r="G552" i="8"/>
  <c r="H552" i="8" s="1"/>
  <c r="G344" i="8"/>
  <c r="H344" i="8" s="1"/>
  <c r="G360" i="8"/>
  <c r="H360" i="8" s="1"/>
  <c r="G376" i="8"/>
  <c r="H376" i="8" s="1"/>
  <c r="G392" i="8"/>
  <c r="H392" i="8" s="1"/>
  <c r="G408" i="8"/>
  <c r="H408" i="8" s="1"/>
  <c r="G457" i="8"/>
  <c r="H457" i="8" s="1"/>
  <c r="G521" i="8"/>
  <c r="H521" i="8" s="1"/>
  <c r="G537" i="8"/>
  <c r="H537" i="8" s="1"/>
  <c r="G553" i="8"/>
  <c r="H553" i="8" s="1"/>
  <c r="G569" i="8"/>
  <c r="H569" i="8" s="1"/>
  <c r="G362" i="8"/>
  <c r="H362" i="8" s="1"/>
  <c r="G378" i="8"/>
  <c r="H378" i="8" s="1"/>
  <c r="G394" i="8"/>
  <c r="H394" i="8" s="1"/>
  <c r="G410" i="8"/>
  <c r="H410" i="8" s="1"/>
  <c r="G539" i="8"/>
  <c r="H539" i="8" s="1"/>
  <c r="G555" i="8"/>
  <c r="H555" i="8" s="1"/>
  <c r="G508" i="8"/>
  <c r="H508" i="8" s="1"/>
  <c r="G349" i="8"/>
  <c r="H349" i="8" s="1"/>
  <c r="G365" i="8"/>
  <c r="H365" i="8" s="1"/>
  <c r="G381" i="8"/>
  <c r="H381" i="8" s="1"/>
  <c r="G397" i="8"/>
  <c r="H397" i="8" s="1"/>
  <c r="G478" i="8"/>
  <c r="H478" i="8" s="1"/>
  <c r="G509" i="8"/>
  <c r="H509" i="8" s="1"/>
  <c r="G526" i="8"/>
  <c r="H526" i="8" s="1"/>
  <c r="G542" i="8"/>
  <c r="H542" i="8" s="1"/>
  <c r="G574" i="8"/>
  <c r="H574" i="8" s="1"/>
  <c r="G463" i="8"/>
  <c r="H463" i="8" s="1"/>
  <c r="G495" i="8"/>
  <c r="H495" i="8" s="1"/>
  <c r="G351" i="8"/>
  <c r="H351" i="8" s="1"/>
  <c r="G367" i="8"/>
  <c r="H367" i="8" s="1"/>
  <c r="G383" i="8"/>
  <c r="H383" i="8" s="1"/>
  <c r="G399" i="8"/>
  <c r="H399" i="8" s="1"/>
  <c r="G415" i="8"/>
  <c r="H415" i="8" s="1"/>
  <c r="G448" i="8"/>
  <c r="H448" i="8" s="1"/>
  <c r="G544" i="8"/>
  <c r="H544" i="8" s="1"/>
  <c r="G354" i="8"/>
  <c r="H354" i="8" s="1"/>
  <c r="G370" i="8"/>
  <c r="H370" i="8" s="1"/>
  <c r="G386" i="8"/>
  <c r="H386" i="8" s="1"/>
  <c r="G402" i="8"/>
  <c r="H402" i="8" s="1"/>
  <c r="G418" i="8"/>
  <c r="H418" i="8" s="1"/>
  <c r="G451" i="8"/>
  <c r="H451" i="8" s="1"/>
  <c r="G515" i="8"/>
  <c r="H515" i="8" s="1"/>
  <c r="G531" i="8"/>
  <c r="H531" i="8" s="1"/>
  <c r="G547" i="8"/>
  <c r="H547" i="8" s="1"/>
  <c r="G579" i="8"/>
  <c r="H579" i="8" s="1"/>
  <c r="G580" i="8"/>
  <c r="H580" i="8" s="1"/>
  <c r="G471" i="8"/>
  <c r="H471" i="8" s="1"/>
  <c r="G413" i="8"/>
  <c r="H413" i="8" s="1"/>
  <c r="G585" i="8"/>
  <c r="H585" i="8" s="1"/>
  <c r="G329" i="8"/>
  <c r="H329" i="8" s="1"/>
  <c r="G425" i="8"/>
  <c r="H425" i="8" s="1"/>
  <c r="G475" i="8"/>
  <c r="H475" i="8" s="1"/>
  <c r="G588" i="8"/>
  <c r="H588" i="8" s="1"/>
  <c r="G328" i="8"/>
  <c r="H328" i="8" s="1"/>
  <c r="G330" i="8"/>
  <c r="H330" i="8" s="1"/>
  <c r="G347" i="8"/>
  <c r="H347" i="8" s="1"/>
  <c r="G363" i="8"/>
  <c r="H363" i="8" s="1"/>
  <c r="G379" i="8"/>
  <c r="H379" i="8" s="1"/>
  <c r="G395" i="8"/>
  <c r="H395" i="8" s="1"/>
  <c r="G411" i="8"/>
  <c r="H411" i="8" s="1"/>
  <c r="G460" i="8"/>
  <c r="H460" i="8" s="1"/>
  <c r="G476" i="8"/>
  <c r="H476" i="8" s="1"/>
  <c r="G492" i="8"/>
  <c r="H492" i="8" s="1"/>
  <c r="G511" i="8"/>
  <c r="H511" i="8" s="1"/>
  <c r="G524" i="8"/>
  <c r="H524" i="8" s="1"/>
  <c r="G540" i="8"/>
  <c r="H540" i="8" s="1"/>
  <c r="G556" i="8"/>
  <c r="H556" i="8" s="1"/>
  <c r="G572" i="8"/>
  <c r="H572" i="8" s="1"/>
  <c r="G506" i="8"/>
  <c r="H506" i="8" s="1"/>
  <c r="G348" i="8"/>
  <c r="H348" i="8" s="1"/>
  <c r="G364" i="8"/>
  <c r="H364" i="8" s="1"/>
  <c r="G380" i="8"/>
  <c r="H380" i="8" s="1"/>
  <c r="G396" i="8"/>
  <c r="H396" i="8" s="1"/>
  <c r="G412" i="8"/>
  <c r="H412" i="8" s="1"/>
  <c r="G461" i="8"/>
  <c r="H461" i="8" s="1"/>
  <c r="G477" i="8"/>
  <c r="H477" i="8" s="1"/>
  <c r="G525" i="8"/>
  <c r="H525" i="8" s="1"/>
  <c r="G541" i="8"/>
  <c r="H541" i="8" s="1"/>
  <c r="G573" i="8"/>
  <c r="H573" i="8" s="1"/>
  <c r="G335" i="8"/>
  <c r="H335" i="8" s="1"/>
  <c r="G464" i="8"/>
  <c r="H464" i="8" s="1"/>
  <c r="G480" i="8"/>
  <c r="H480" i="8" s="1"/>
  <c r="G496" i="8"/>
  <c r="H496" i="8" s="1"/>
  <c r="G528" i="8"/>
  <c r="H528" i="8" s="1"/>
  <c r="G576" i="8"/>
  <c r="H576" i="8" s="1"/>
  <c r="G336" i="8"/>
  <c r="H336" i="8" s="1"/>
  <c r="G368" i="8"/>
  <c r="H368" i="8" s="1"/>
  <c r="G384" i="8"/>
  <c r="H384" i="8" s="1"/>
  <c r="G400" i="8"/>
  <c r="H400" i="8" s="1"/>
  <c r="G416" i="8"/>
  <c r="H416" i="8" s="1"/>
  <c r="G449" i="8"/>
  <c r="H449" i="8" s="1"/>
  <c r="G465" i="8"/>
  <c r="H465" i="8" s="1"/>
  <c r="G481" i="8"/>
  <c r="H481" i="8" s="1"/>
  <c r="G497" i="8"/>
  <c r="H497" i="8" s="1"/>
  <c r="G513" i="8"/>
  <c r="H513" i="8" s="1"/>
  <c r="G529" i="8"/>
  <c r="H529" i="8" s="1"/>
  <c r="G545" i="8"/>
  <c r="H545" i="8" s="1"/>
  <c r="G577" i="8"/>
  <c r="H577" i="8" s="1"/>
  <c r="G334" i="8"/>
  <c r="H334" i="8" s="1"/>
  <c r="G582" i="8"/>
  <c r="H582" i="8" s="1"/>
  <c r="G340" i="8"/>
  <c r="H340" i="8" s="1"/>
  <c r="G453" i="8"/>
  <c r="H453" i="8" s="1"/>
  <c r="G469" i="8"/>
  <c r="H469" i="8" s="1"/>
  <c r="G485" i="8"/>
  <c r="H485" i="8" s="1"/>
  <c r="G341" i="8"/>
  <c r="H341" i="8" s="1"/>
  <c r="G357" i="8"/>
  <c r="H357" i="8" s="1"/>
  <c r="G373" i="8"/>
  <c r="H373" i="8" s="1"/>
  <c r="G389" i="8"/>
  <c r="H389" i="8" s="1"/>
  <c r="G405" i="8"/>
  <c r="H405" i="8" s="1"/>
  <c r="G470" i="8"/>
  <c r="H470" i="8" s="1"/>
  <c r="G486" i="8"/>
  <c r="H486" i="8" s="1"/>
  <c r="G502" i="8"/>
  <c r="H502" i="8" s="1"/>
  <c r="G518" i="8"/>
  <c r="H518" i="8" s="1"/>
  <c r="G534" i="8"/>
  <c r="H534" i="8" s="1"/>
  <c r="G550" i="8"/>
  <c r="H550" i="8" s="1"/>
  <c r="G583" i="8"/>
  <c r="H583" i="8" s="1"/>
  <c r="G325" i="8"/>
  <c r="H325" i="8" s="1"/>
  <c r="G342" i="8"/>
  <c r="H342" i="8" s="1"/>
  <c r="G358" i="8"/>
  <c r="H358" i="8" s="1"/>
  <c r="G374" i="8"/>
  <c r="H374" i="8" s="1"/>
  <c r="G390" i="8"/>
  <c r="H390" i="8" s="1"/>
  <c r="G406" i="8"/>
  <c r="H406" i="8" s="1"/>
  <c r="G455" i="8"/>
  <c r="H455" i="8" s="1"/>
  <c r="G487" i="8"/>
  <c r="H487" i="8" s="1"/>
  <c r="G503" i="8"/>
  <c r="H503" i="8" s="1"/>
  <c r="G519" i="8"/>
  <c r="H519" i="8" s="1"/>
  <c r="G535" i="8"/>
  <c r="H535" i="8" s="1"/>
  <c r="G551" i="8"/>
  <c r="H551" i="8" s="1"/>
  <c r="G331" i="8"/>
  <c r="H331" i="8" s="1"/>
  <c r="G584" i="8"/>
  <c r="H584" i="8" s="1"/>
  <c r="G429" i="30"/>
  <c r="H429" i="30" s="1"/>
  <c r="G423" i="30"/>
  <c r="H423" i="30" s="1"/>
  <c r="G541" i="30"/>
  <c r="H541" i="30" s="1"/>
  <c r="D186" i="30"/>
  <c r="G535" i="30"/>
  <c r="H535" i="30" s="1"/>
  <c r="G391" i="30"/>
  <c r="H391" i="30" s="1"/>
  <c r="G508" i="30"/>
  <c r="H508" i="30" s="1"/>
  <c r="G529" i="30"/>
  <c r="H529" i="30" s="1"/>
  <c r="G365" i="30"/>
  <c r="H365" i="30" s="1"/>
  <c r="G385" i="30"/>
  <c r="H385" i="30" s="1"/>
  <c r="G503" i="30"/>
  <c r="H503" i="30" s="1"/>
  <c r="G607" i="30"/>
  <c r="H607" i="30" s="1"/>
  <c r="G620" i="30"/>
  <c r="H620" i="30" s="1"/>
  <c r="G352" i="30"/>
  <c r="H352" i="30" s="1"/>
  <c r="G592" i="30"/>
  <c r="H592" i="30" s="1"/>
  <c r="G337" i="30"/>
  <c r="H337" i="30" s="1"/>
  <c r="G567" i="30"/>
  <c r="H567" i="30" s="1"/>
  <c r="G397" i="30"/>
  <c r="H397" i="30" s="1"/>
  <c r="G417" i="30"/>
  <c r="H417" i="30" s="1"/>
  <c r="D121" i="30"/>
  <c r="G410" i="30"/>
  <c r="H410" i="30" s="1"/>
  <c r="G359" i="30"/>
  <c r="H359" i="30" s="1"/>
  <c r="G477" i="30"/>
  <c r="H477" i="30" s="1"/>
  <c r="G497" i="30"/>
  <c r="H497" i="30" s="1"/>
  <c r="G614" i="30"/>
  <c r="H614" i="30" s="1"/>
  <c r="G455" i="30"/>
  <c r="H455" i="30" s="1"/>
  <c r="G572" i="30"/>
  <c r="H572" i="30" s="1"/>
  <c r="G333" i="30"/>
  <c r="H333" i="30" s="1"/>
  <c r="G353" i="30"/>
  <c r="H353" i="30" s="1"/>
  <c r="G471" i="30"/>
  <c r="H471" i="30" s="1"/>
  <c r="G575" i="30"/>
  <c r="H575" i="30" s="1"/>
  <c r="G588" i="30"/>
  <c r="H588" i="30" s="1"/>
  <c r="D293" i="30"/>
  <c r="G326" i="30"/>
  <c r="H326" i="30" s="1"/>
  <c r="G445" i="30"/>
  <c r="H445" i="30" s="1"/>
  <c r="G465" i="30"/>
  <c r="H465" i="30" s="1"/>
  <c r="G582" i="30"/>
  <c r="H582" i="30" s="1"/>
  <c r="D244" i="30"/>
  <c r="G439" i="30"/>
  <c r="H439" i="30" s="1"/>
  <c r="G557" i="30"/>
  <c r="H557" i="30" s="1"/>
  <c r="G413" i="30"/>
  <c r="H413" i="30" s="1"/>
  <c r="D97" i="30"/>
  <c r="D117" i="30"/>
  <c r="G433" i="30"/>
  <c r="H433" i="30" s="1"/>
  <c r="G551" i="30"/>
  <c r="H551" i="30" s="1"/>
  <c r="G576" i="30"/>
  <c r="H576" i="30" s="1"/>
  <c r="G545" i="30"/>
  <c r="H545" i="30" s="1"/>
  <c r="D295" i="30"/>
  <c r="D26" i="30"/>
  <c r="G375" i="30"/>
  <c r="H375" i="30" s="1"/>
  <c r="G493" i="30"/>
  <c r="H493" i="30" s="1"/>
  <c r="G513" i="30"/>
  <c r="H513" i="30" s="1"/>
  <c r="C316" i="30"/>
  <c r="D225" i="30" s="1"/>
  <c r="D100" i="30"/>
  <c r="D297" i="30"/>
  <c r="G561" i="30"/>
  <c r="H561" i="30" s="1"/>
  <c r="G401" i="30"/>
  <c r="H401" i="30" s="1"/>
  <c r="G623" i="30"/>
  <c r="H623" i="30" s="1"/>
  <c r="G349" i="30"/>
  <c r="H349" i="30" s="1"/>
  <c r="G369" i="30"/>
  <c r="H369" i="30" s="1"/>
  <c r="D138" i="30"/>
  <c r="G487" i="30"/>
  <c r="H487" i="30" s="1"/>
  <c r="G591" i="30"/>
  <c r="H591" i="30" s="1"/>
  <c r="G604" i="30"/>
  <c r="H604" i="30" s="1"/>
  <c r="G560" i="30"/>
  <c r="H560" i="30" s="1"/>
  <c r="G449" i="30"/>
  <c r="H449" i="30" s="1"/>
  <c r="D212" i="30"/>
  <c r="G407" i="30"/>
  <c r="H407" i="30" s="1"/>
  <c r="G525" i="30"/>
  <c r="H525" i="30" s="1"/>
  <c r="G381" i="30"/>
  <c r="H381" i="30" s="1"/>
  <c r="G519" i="30"/>
  <c r="H519" i="30" s="1"/>
  <c r="G343" i="30"/>
  <c r="H343" i="30" s="1"/>
  <c r="D73" i="30"/>
  <c r="D93" i="30"/>
  <c r="G461" i="30"/>
  <c r="H461" i="30" s="1"/>
  <c r="G481" i="30"/>
  <c r="H481" i="30" s="1"/>
  <c r="G598" i="30"/>
  <c r="H598" i="30" s="1"/>
  <c r="G345" i="30"/>
  <c r="H345" i="30" s="1"/>
  <c r="G361" i="30"/>
  <c r="H361" i="30" s="1"/>
  <c r="G377" i="30"/>
  <c r="H377" i="30" s="1"/>
  <c r="G393" i="30"/>
  <c r="H393" i="30" s="1"/>
  <c r="G409" i="30"/>
  <c r="H409" i="30" s="1"/>
  <c r="G441" i="30"/>
  <c r="H441" i="30" s="1"/>
  <c r="G457" i="30"/>
  <c r="H457" i="30" s="1"/>
  <c r="G473" i="30"/>
  <c r="H473" i="30" s="1"/>
  <c r="G489" i="30"/>
  <c r="H489" i="30" s="1"/>
  <c r="G505" i="30"/>
  <c r="H505" i="30" s="1"/>
  <c r="G521" i="30"/>
  <c r="H521" i="30" s="1"/>
  <c r="G537" i="30"/>
  <c r="H537" i="30" s="1"/>
  <c r="G553" i="30"/>
  <c r="H553" i="30" s="1"/>
  <c r="G578" i="30"/>
  <c r="H578" i="30" s="1"/>
  <c r="G594" i="30"/>
  <c r="H594" i="30" s="1"/>
  <c r="G610" i="30"/>
  <c r="H610" i="30" s="1"/>
  <c r="G626" i="30"/>
  <c r="H626" i="30" s="1"/>
  <c r="AE9" i="13"/>
  <c r="F25" i="11"/>
  <c r="G566" i="8"/>
  <c r="H566" i="8" s="1"/>
  <c r="C316" i="8"/>
  <c r="D105" i="8" s="1"/>
  <c r="G352" i="8"/>
  <c r="H352" i="8" s="1"/>
  <c r="H7" i="15"/>
  <c r="AK8" i="22"/>
  <c r="V320" i="22"/>
  <c r="U320" i="22"/>
  <c r="T320" i="22"/>
  <c r="K106" i="10" l="1"/>
  <c r="N106" i="10"/>
  <c r="M106" i="10"/>
  <c r="L106" i="10"/>
  <c r="O106" i="10"/>
  <c r="C101" i="18"/>
  <c r="K106" i="9"/>
  <c r="D106" i="9"/>
  <c r="O106" i="9"/>
  <c r="J106" i="9"/>
  <c r="I106" i="9"/>
  <c r="E106" i="9"/>
  <c r="C106" i="9"/>
  <c r="D292" i="30"/>
  <c r="D213" i="30"/>
  <c r="D20" i="30"/>
  <c r="D45" i="30"/>
  <c r="D234" i="30"/>
  <c r="D247" i="30"/>
  <c r="D285" i="30"/>
  <c r="D312" i="30"/>
  <c r="D296" i="30"/>
  <c r="D280" i="30"/>
  <c r="D264" i="30"/>
  <c r="D248" i="30"/>
  <c r="D232" i="30"/>
  <c r="D216" i="30"/>
  <c r="D200" i="30"/>
  <c r="D184" i="30"/>
  <c r="D168" i="30"/>
  <c r="D152" i="30"/>
  <c r="D136" i="30"/>
  <c r="D120" i="30"/>
  <c r="D104" i="30"/>
  <c r="D88" i="30"/>
  <c r="D72" i="30"/>
  <c r="D56" i="30"/>
  <c r="D40" i="30"/>
  <c r="D24" i="30"/>
  <c r="D236" i="30"/>
  <c r="D204" i="30"/>
  <c r="D76" i="30"/>
  <c r="F631" i="30"/>
  <c r="F632" i="30" s="1"/>
  <c r="D300" i="30"/>
  <c r="D172" i="30"/>
  <c r="D140" i="30"/>
  <c r="D108" i="30"/>
  <c r="D44" i="30"/>
  <c r="D306" i="30"/>
  <c r="D290" i="30"/>
  <c r="D274" i="30"/>
  <c r="D258" i="30"/>
  <c r="D242" i="30"/>
  <c r="D226" i="30"/>
  <c r="D210" i="30"/>
  <c r="D194" i="30"/>
  <c r="D178" i="30"/>
  <c r="D162" i="30"/>
  <c r="D146" i="30"/>
  <c r="D130" i="30"/>
  <c r="D114" i="30"/>
  <c r="D98" i="30"/>
  <c r="D82" i="30"/>
  <c r="D66" i="30"/>
  <c r="D50" i="30"/>
  <c r="D34" i="30"/>
  <c r="D18" i="30"/>
  <c r="D252" i="30"/>
  <c r="D220" i="30"/>
  <c r="D124" i="30"/>
  <c r="D92" i="30"/>
  <c r="D60" i="30"/>
  <c r="D28" i="30"/>
  <c r="D284" i="30"/>
  <c r="D268" i="30"/>
  <c r="D188" i="30"/>
  <c r="D156" i="30"/>
  <c r="D12" i="30"/>
  <c r="D191" i="30"/>
  <c r="D112" i="30"/>
  <c r="D99" i="30"/>
  <c r="D86" i="30"/>
  <c r="D255" i="30"/>
  <c r="D176" i="30"/>
  <c r="D78" i="30"/>
  <c r="D58" i="30"/>
  <c r="D310" i="30"/>
  <c r="D198" i="30"/>
  <c r="D256" i="30"/>
  <c r="D243" i="30"/>
  <c r="D230" i="30"/>
  <c r="D217" i="30"/>
  <c r="D79" i="30"/>
  <c r="D275" i="30"/>
  <c r="D262" i="30"/>
  <c r="D32" i="30"/>
  <c r="D19" i="30"/>
  <c r="D163" i="30"/>
  <c r="D150" i="30"/>
  <c r="D137" i="30"/>
  <c r="D110" i="30"/>
  <c r="D159" i="30"/>
  <c r="D303" i="30"/>
  <c r="D223" i="30"/>
  <c r="D144" i="30"/>
  <c r="D131" i="30"/>
  <c r="D118" i="30"/>
  <c r="D288" i="30"/>
  <c r="D111" i="30"/>
  <c r="D314" i="30"/>
  <c r="D224" i="30"/>
  <c r="D126" i="30"/>
  <c r="D106" i="30"/>
  <c r="D47" i="30"/>
  <c r="D307" i="30"/>
  <c r="D294" i="30"/>
  <c r="D143" i="30"/>
  <c r="D64" i="30"/>
  <c r="D51" i="30"/>
  <c r="D38" i="30"/>
  <c r="D287" i="30"/>
  <c r="D208" i="30"/>
  <c r="D195" i="30"/>
  <c r="D182" i="30"/>
  <c r="D169" i="30"/>
  <c r="D90" i="30"/>
  <c r="D31" i="30"/>
  <c r="D175" i="30"/>
  <c r="D96" i="30"/>
  <c r="D83" i="30"/>
  <c r="D70" i="30"/>
  <c r="D240" i="30"/>
  <c r="D227" i="30"/>
  <c r="D214" i="30"/>
  <c r="D201" i="30"/>
  <c r="D142" i="30"/>
  <c r="D122" i="30"/>
  <c r="D63" i="30"/>
  <c r="D80" i="30"/>
  <c r="D185" i="30"/>
  <c r="D286" i="30"/>
  <c r="D207" i="30"/>
  <c r="D128" i="30"/>
  <c r="D115" i="30"/>
  <c r="D102" i="30"/>
  <c r="D89" i="30"/>
  <c r="D30" i="30"/>
  <c r="D10" i="30"/>
  <c r="D239" i="30"/>
  <c r="D160" i="30"/>
  <c r="D291" i="30"/>
  <c r="D278" i="30"/>
  <c r="D35" i="30"/>
  <c r="D22" i="30"/>
  <c r="D15" i="30"/>
  <c r="D54" i="30"/>
  <c r="D211" i="30"/>
  <c r="D272" i="30"/>
  <c r="D259" i="30"/>
  <c r="D246" i="30"/>
  <c r="D95" i="30"/>
  <c r="D16" i="30"/>
  <c r="D147" i="30"/>
  <c r="D134" i="30"/>
  <c r="D304" i="30"/>
  <c r="D127" i="30"/>
  <c r="D48" i="30"/>
  <c r="D271" i="30"/>
  <c r="D192" i="30"/>
  <c r="D179" i="30"/>
  <c r="D166" i="30"/>
  <c r="D67" i="30"/>
  <c r="D55" i="30"/>
  <c r="D61" i="30"/>
  <c r="D282" i="30"/>
  <c r="D254" i="30"/>
  <c r="D299" i="30"/>
  <c r="D9" i="30"/>
  <c r="D203" i="30"/>
  <c r="D283" i="30"/>
  <c r="D309" i="30"/>
  <c r="D308" i="30"/>
  <c r="D197" i="30"/>
  <c r="D229" i="30"/>
  <c r="D25" i="30"/>
  <c r="D221" i="30"/>
  <c r="D266" i="30"/>
  <c r="D265" i="30"/>
  <c r="D279" i="30"/>
  <c r="D193" i="30"/>
  <c r="D298" i="30"/>
  <c r="D53" i="30"/>
  <c r="D249" i="30"/>
  <c r="D180" i="30"/>
  <c r="D302" i="30"/>
  <c r="D177" i="30"/>
  <c r="D205" i="30"/>
  <c r="D261" i="30"/>
  <c r="D149" i="30"/>
  <c r="D155" i="30"/>
  <c r="D253" i="30"/>
  <c r="D141" i="30"/>
  <c r="D173" i="30"/>
  <c r="D270" i="30"/>
  <c r="D289" i="30"/>
  <c r="D269" i="30"/>
  <c r="D241" i="30"/>
  <c r="D129" i="30"/>
  <c r="D181" i="30"/>
  <c r="D101" i="30"/>
  <c r="D233" i="30"/>
  <c r="D75" i="30"/>
  <c r="D153" i="30"/>
  <c r="D313" i="30"/>
  <c r="D257" i="30"/>
  <c r="D68" i="30"/>
  <c r="D27" i="30"/>
  <c r="D133" i="30"/>
  <c r="D260" i="30"/>
  <c r="D305" i="30"/>
  <c r="D52" i="30"/>
  <c r="D250" i="30"/>
  <c r="D39" i="30"/>
  <c r="D190" i="30"/>
  <c r="D164" i="30"/>
  <c r="D301" i="30"/>
  <c r="D187" i="30"/>
  <c r="D13" i="30"/>
  <c r="D62" i="30"/>
  <c r="D103" i="30"/>
  <c r="D145" i="30"/>
  <c r="D237" i="30"/>
  <c r="D196" i="30"/>
  <c r="D105" i="30"/>
  <c r="D189" i="30"/>
  <c r="D77" i="30"/>
  <c r="D135" i="30"/>
  <c r="D251" i="30"/>
  <c r="D154" i="30"/>
  <c r="D311" i="30"/>
  <c r="D33" i="30"/>
  <c r="D170" i="30"/>
  <c r="D84" i="30"/>
  <c r="D167" i="30"/>
  <c r="D29" i="30"/>
  <c r="D14" i="30"/>
  <c r="D276" i="30"/>
  <c r="D209" i="30"/>
  <c r="D263" i="30"/>
  <c r="D125" i="30"/>
  <c r="D235" i="30"/>
  <c r="D17" i="30"/>
  <c r="D148" i="30"/>
  <c r="D199" i="30"/>
  <c r="D174" i="30"/>
  <c r="D113" i="30"/>
  <c r="D183" i="30"/>
  <c r="D171" i="30"/>
  <c r="D157" i="30"/>
  <c r="D59" i="30"/>
  <c r="D222" i="30"/>
  <c r="D123" i="30"/>
  <c r="D57" i="30"/>
  <c r="D238" i="30"/>
  <c r="D109" i="30"/>
  <c r="D91" i="30"/>
  <c r="D202" i="30"/>
  <c r="D11" i="30"/>
  <c r="D218" i="30"/>
  <c r="D43" i="30"/>
  <c r="D69" i="30"/>
  <c r="D231" i="30"/>
  <c r="D36" i="30"/>
  <c r="D267" i="30"/>
  <c r="D273" i="30"/>
  <c r="D139" i="30"/>
  <c r="D23" i="30"/>
  <c r="D87" i="30"/>
  <c r="D71" i="30"/>
  <c r="D65" i="30"/>
  <c r="D161" i="30"/>
  <c r="D81" i="30"/>
  <c r="D107" i="30"/>
  <c r="D151" i="30"/>
  <c r="D281" i="30"/>
  <c r="D228" i="30"/>
  <c r="D116" i="30"/>
  <c r="D37" i="30"/>
  <c r="D165" i="30"/>
  <c r="D85" i="30"/>
  <c r="D215" i="30"/>
  <c r="D42" i="30"/>
  <c r="D219" i="30"/>
  <c r="D277" i="30"/>
  <c r="D132" i="30"/>
  <c r="D119" i="30"/>
  <c r="D158" i="30"/>
  <c r="D245" i="30"/>
  <c r="D46" i="30"/>
  <c r="D74" i="30"/>
  <c r="D41" i="30"/>
  <c r="D21" i="30"/>
  <c r="D49" i="30"/>
  <c r="D206" i="30"/>
  <c r="D94" i="30"/>
  <c r="D252" i="8"/>
  <c r="O253" i="10" l="1"/>
  <c r="N253" i="10"/>
  <c r="L253" i="10"/>
  <c r="K253" i="10"/>
  <c r="M253" i="10"/>
  <c r="C248" i="18"/>
  <c r="K253" i="9"/>
  <c r="D316" i="30"/>
  <c r="O253" i="9"/>
  <c r="I253" i="9"/>
  <c r="E253" i="9"/>
  <c r="D253" i="9"/>
  <c r="C253" i="9"/>
  <c r="J16" i="11" l="1"/>
  <c r="J18" i="11" s="1"/>
  <c r="P37" i="13"/>
  <c r="H12" i="11"/>
  <c r="F10" i="15"/>
  <c r="F7" i="15"/>
  <c r="I7" i="15" s="1"/>
  <c r="D16" i="26"/>
  <c r="D7" i="26"/>
  <c r="AE37" i="13" l="1"/>
  <c r="J253" i="9"/>
  <c r="AC39" i="13"/>
  <c r="AA39" i="13"/>
  <c r="AB39" i="13"/>
  <c r="Z39" i="13"/>
  <c r="P36" i="13"/>
  <c r="L39" i="13"/>
  <c r="J39" i="13"/>
  <c r="P24" i="13"/>
  <c r="N39" i="13" l="1"/>
  <c r="AE25" i="13"/>
  <c r="F313" i="8" l="1"/>
  <c r="G318" i="18" l="1"/>
  <c r="G101" i="18" l="1"/>
  <c r="D112" i="8"/>
  <c r="D266" i="8"/>
  <c r="D196" i="8"/>
  <c r="D308" i="8"/>
  <c r="D296" i="8"/>
  <c r="D284" i="8"/>
  <c r="D272" i="8"/>
  <c r="D259" i="8"/>
  <c r="D247" i="8"/>
  <c r="D235" i="8"/>
  <c r="D223" i="8"/>
  <c r="D211" i="8"/>
  <c r="D199" i="8"/>
  <c r="D185" i="8"/>
  <c r="D173" i="8"/>
  <c r="D161" i="8"/>
  <c r="D149" i="8"/>
  <c r="D138" i="8"/>
  <c r="D126" i="8"/>
  <c r="D114" i="8"/>
  <c r="D100" i="8"/>
  <c r="D88" i="8"/>
  <c r="D76" i="8"/>
  <c r="D64" i="8"/>
  <c r="D52" i="8"/>
  <c r="D40" i="8"/>
  <c r="D28" i="8"/>
  <c r="D16" i="8"/>
  <c r="D307" i="8"/>
  <c r="D295" i="8"/>
  <c r="D283" i="8"/>
  <c r="D271" i="8"/>
  <c r="D258" i="8"/>
  <c r="D246" i="8"/>
  <c r="D234" i="8"/>
  <c r="D222" i="8"/>
  <c r="D210" i="8"/>
  <c r="D198" i="8"/>
  <c r="D184" i="8"/>
  <c r="D172" i="8"/>
  <c r="D160" i="8"/>
  <c r="D148" i="8"/>
  <c r="D137" i="8"/>
  <c r="D125" i="8"/>
  <c r="D113" i="8"/>
  <c r="D99" i="8"/>
  <c r="D87" i="8"/>
  <c r="D75" i="8"/>
  <c r="D63" i="8"/>
  <c r="D305" i="8"/>
  <c r="D293" i="8"/>
  <c r="D281" i="8"/>
  <c r="D269" i="8"/>
  <c r="D257" i="8"/>
  <c r="D244" i="8"/>
  <c r="D232" i="8"/>
  <c r="D220" i="8"/>
  <c r="D208" i="8"/>
  <c r="D194" i="8"/>
  <c r="D182" i="8"/>
  <c r="D170" i="8"/>
  <c r="D158" i="8"/>
  <c r="D146" i="8"/>
  <c r="D135" i="8"/>
  <c r="D123" i="8"/>
  <c r="D110" i="8"/>
  <c r="D97" i="8"/>
  <c r="D85" i="8"/>
  <c r="D73" i="8"/>
  <c r="D61" i="8"/>
  <c r="D49" i="8"/>
  <c r="D37" i="8"/>
  <c r="D25" i="8"/>
  <c r="D13" i="8"/>
  <c r="D304" i="8"/>
  <c r="D292" i="8"/>
  <c r="D280" i="8"/>
  <c r="D268" i="8"/>
  <c r="D256" i="8"/>
  <c r="D243" i="8"/>
  <c r="D231" i="8"/>
  <c r="D219" i="8"/>
  <c r="D207" i="8"/>
  <c r="D193" i="8"/>
  <c r="D181" i="8"/>
  <c r="D169" i="8"/>
  <c r="D157" i="8"/>
  <c r="D145" i="8"/>
  <c r="D134" i="8"/>
  <c r="D122" i="8"/>
  <c r="D109" i="8"/>
  <c r="D96" i="8"/>
  <c r="D84" i="8"/>
  <c r="D72" i="8"/>
  <c r="D60" i="8"/>
  <c r="D48" i="8"/>
  <c r="D36" i="8"/>
  <c r="D24" i="8"/>
  <c r="D12" i="8"/>
  <c r="D314" i="8"/>
  <c r="D303" i="8"/>
  <c r="D291" i="8"/>
  <c r="D279" i="8"/>
  <c r="D267" i="8"/>
  <c r="D255" i="8"/>
  <c r="D242" i="8"/>
  <c r="D230" i="8"/>
  <c r="D218" i="8"/>
  <c r="D206" i="8"/>
  <c r="D192" i="8"/>
  <c r="D180" i="8"/>
  <c r="D168" i="8"/>
  <c r="D156" i="8"/>
  <c r="D144" i="8"/>
  <c r="D133" i="8"/>
  <c r="D121" i="8"/>
  <c r="D108" i="8"/>
  <c r="D95" i="8"/>
  <c r="D83" i="8"/>
  <c r="D71" i="8"/>
  <c r="D59" i="8"/>
  <c r="D47" i="8"/>
  <c r="D35" i="8"/>
  <c r="D23" i="8"/>
  <c r="D11" i="8"/>
  <c r="D302" i="8"/>
  <c r="D290" i="8"/>
  <c r="D278" i="8"/>
  <c r="D265" i="8"/>
  <c r="D254" i="8"/>
  <c r="D241" i="8"/>
  <c r="D313" i="8"/>
  <c r="D289" i="8"/>
  <c r="D264" i="8"/>
  <c r="D240" i="8"/>
  <c r="D221" i="8"/>
  <c r="D201" i="8"/>
  <c r="D177" i="8"/>
  <c r="D155" i="8"/>
  <c r="D139" i="8"/>
  <c r="D117" i="8"/>
  <c r="D93" i="8"/>
  <c r="D74" i="8"/>
  <c r="D54" i="8"/>
  <c r="D34" i="8"/>
  <c r="D18" i="8"/>
  <c r="D312" i="8"/>
  <c r="D288" i="8"/>
  <c r="D263" i="8"/>
  <c r="D239" i="8"/>
  <c r="D217" i="8"/>
  <c r="D200" i="8"/>
  <c r="D176" i="8"/>
  <c r="D154" i="8"/>
  <c r="D136" i="8"/>
  <c r="D116" i="8"/>
  <c r="D92" i="8"/>
  <c r="D70" i="8"/>
  <c r="D53" i="8"/>
  <c r="D33" i="8"/>
  <c r="D17" i="8"/>
  <c r="D311" i="8"/>
  <c r="D287" i="8"/>
  <c r="D262" i="8"/>
  <c r="D238" i="8"/>
  <c r="D216" i="8"/>
  <c r="D195" i="8"/>
  <c r="D175" i="8"/>
  <c r="D153" i="8"/>
  <c r="D132" i="8"/>
  <c r="D115" i="8"/>
  <c r="D91" i="8"/>
  <c r="D69" i="8"/>
  <c r="D51" i="8"/>
  <c r="D32" i="8"/>
  <c r="D15" i="8"/>
  <c r="D310" i="8"/>
  <c r="D286" i="8"/>
  <c r="D261" i="8"/>
  <c r="D237" i="8"/>
  <c r="D215" i="8"/>
  <c r="D191" i="8"/>
  <c r="D174" i="8"/>
  <c r="D152" i="8"/>
  <c r="D131" i="8"/>
  <c r="D111" i="8"/>
  <c r="D90" i="8"/>
  <c r="D68" i="8"/>
  <c r="D50" i="8"/>
  <c r="D31" i="8"/>
  <c r="D14" i="8"/>
  <c r="D309" i="8"/>
  <c r="D285" i="8"/>
  <c r="D260" i="8"/>
  <c r="D236" i="8"/>
  <c r="D214" i="8"/>
  <c r="D190" i="8"/>
  <c r="D171" i="8"/>
  <c r="D151" i="8"/>
  <c r="D130" i="8"/>
  <c r="D107" i="8"/>
  <c r="D89" i="8"/>
  <c r="D67" i="8"/>
  <c r="D46" i="8"/>
  <c r="D30" i="8"/>
  <c r="D10" i="8"/>
  <c r="D306" i="8"/>
  <c r="D282" i="8"/>
  <c r="D197" i="8"/>
  <c r="D233" i="8"/>
  <c r="D213" i="8"/>
  <c r="D189" i="8"/>
  <c r="D167" i="8"/>
  <c r="D150" i="8"/>
  <c r="D129" i="8"/>
  <c r="D106" i="8"/>
  <c r="D86" i="8"/>
  <c r="D66" i="8"/>
  <c r="D45" i="8"/>
  <c r="D29" i="8"/>
  <c r="D9" i="8"/>
  <c r="D301" i="8"/>
  <c r="D277" i="8"/>
  <c r="D253" i="8"/>
  <c r="D229" i="8"/>
  <c r="D212" i="8"/>
  <c r="D188" i="8"/>
  <c r="D166" i="8"/>
  <c r="D147" i="8"/>
  <c r="D128" i="8"/>
  <c r="D104" i="8"/>
  <c r="D82" i="8"/>
  <c r="D65" i="8"/>
  <c r="D44" i="8"/>
  <c r="D27" i="8"/>
  <c r="D300" i="8"/>
  <c r="D276" i="8"/>
  <c r="D251" i="8"/>
  <c r="D228" i="8"/>
  <c r="D209" i="8"/>
  <c r="D187" i="8"/>
  <c r="D165" i="8"/>
  <c r="D143" i="8"/>
  <c r="D127" i="8"/>
  <c r="D103" i="8"/>
  <c r="D81" i="8"/>
  <c r="D62" i="8"/>
  <c r="D43" i="8"/>
  <c r="D26" i="8"/>
  <c r="D299" i="8"/>
  <c r="D275" i="8"/>
  <c r="D250" i="8"/>
  <c r="D227" i="8"/>
  <c r="D205" i="8"/>
  <c r="D186" i="8"/>
  <c r="D164" i="8"/>
  <c r="D142" i="8"/>
  <c r="D124" i="8"/>
  <c r="D102" i="8"/>
  <c r="D80" i="8"/>
  <c r="D58" i="8"/>
  <c r="D42" i="8"/>
  <c r="D22" i="8"/>
  <c r="D298" i="8"/>
  <c r="D274" i="8"/>
  <c r="D249" i="8"/>
  <c r="D226" i="8"/>
  <c r="D204" i="8"/>
  <c r="D183" i="8"/>
  <c r="D163" i="8"/>
  <c r="D141" i="8"/>
  <c r="D120" i="8"/>
  <c r="D101" i="8"/>
  <c r="D79" i="8"/>
  <c r="D57" i="8"/>
  <c r="D41" i="8"/>
  <c r="D21" i="8"/>
  <c r="D297" i="8"/>
  <c r="D273" i="8"/>
  <c r="D248" i="8"/>
  <c r="D225" i="8"/>
  <c r="D203" i="8"/>
  <c r="D179" i="8"/>
  <c r="D162" i="8"/>
  <c r="D119" i="8"/>
  <c r="D98" i="8"/>
  <c r="D78" i="8"/>
  <c r="D56" i="8"/>
  <c r="D39" i="8"/>
  <c r="D20" i="8"/>
  <c r="D294" i="8"/>
  <c r="D270" i="8"/>
  <c r="D245" i="8"/>
  <c r="D224" i="8"/>
  <c r="D202" i="8"/>
  <c r="D178" i="8"/>
  <c r="D159" i="8"/>
  <c r="D140" i="8"/>
  <c r="D118" i="8"/>
  <c r="D77" i="8"/>
  <c r="D55" i="8"/>
  <c r="D38" i="8"/>
  <c r="D19" i="8"/>
  <c r="D94" i="8"/>
  <c r="O278" i="10" l="1"/>
  <c r="N278" i="10"/>
  <c r="K278" i="10"/>
  <c r="L278" i="10"/>
  <c r="M278" i="10"/>
  <c r="O181" i="10"/>
  <c r="N181" i="10"/>
  <c r="L181" i="10"/>
  <c r="K181" i="10"/>
  <c r="M181" i="10"/>
  <c r="N52" i="10"/>
  <c r="O52" i="10"/>
  <c r="L52" i="10"/>
  <c r="M52" i="10"/>
  <c r="K52" i="10"/>
  <c r="N100" i="10"/>
  <c r="O100" i="10"/>
  <c r="L100" i="10"/>
  <c r="M100" i="10"/>
  <c r="K100" i="10"/>
  <c r="N228" i="10"/>
  <c r="M228" i="10"/>
  <c r="L228" i="10"/>
  <c r="K228" i="10"/>
  <c r="O228" i="10"/>
  <c r="O118" i="10"/>
  <c r="K118" i="10"/>
  <c r="M118" i="10"/>
  <c r="L118" i="10"/>
  <c r="N118" i="10"/>
  <c r="O205" i="10"/>
  <c r="N205" i="10"/>
  <c r="L205" i="10"/>
  <c r="K205" i="10"/>
  <c r="M205" i="10"/>
  <c r="O30" i="10"/>
  <c r="N30" i="10"/>
  <c r="M30" i="10"/>
  <c r="L30" i="10"/>
  <c r="K30" i="10"/>
  <c r="N47" i="10"/>
  <c r="O47" i="10"/>
  <c r="M47" i="10"/>
  <c r="L47" i="10"/>
  <c r="K47" i="10"/>
  <c r="N69" i="10"/>
  <c r="O69" i="10"/>
  <c r="M69" i="10"/>
  <c r="K69" i="10"/>
  <c r="L69" i="10"/>
  <c r="M92" i="10"/>
  <c r="O92" i="10"/>
  <c r="N92" i="10"/>
  <c r="L92" i="10"/>
  <c r="K92" i="10"/>
  <c r="O117" i="10"/>
  <c r="M117" i="10"/>
  <c r="N117" i="10"/>
  <c r="L117" i="10"/>
  <c r="K117" i="10"/>
  <c r="M140" i="10"/>
  <c r="O140" i="10"/>
  <c r="N140" i="10"/>
  <c r="L140" i="10"/>
  <c r="K140" i="10"/>
  <c r="O24" i="10"/>
  <c r="M24" i="10"/>
  <c r="K24" i="10"/>
  <c r="L24" i="10"/>
  <c r="N24" i="10"/>
  <c r="K219" i="10"/>
  <c r="N219" i="10"/>
  <c r="M219" i="10"/>
  <c r="L219" i="10"/>
  <c r="O219" i="10"/>
  <c r="M97" i="10"/>
  <c r="K97" i="10"/>
  <c r="L97" i="10"/>
  <c r="O97" i="10"/>
  <c r="N97" i="10"/>
  <c r="O293" i="10"/>
  <c r="M293" i="10"/>
  <c r="L293" i="10"/>
  <c r="K293" i="10"/>
  <c r="N293" i="10"/>
  <c r="O183" i="10"/>
  <c r="N183" i="10"/>
  <c r="M183" i="10"/>
  <c r="L183" i="10"/>
  <c r="K183" i="10"/>
  <c r="L126" i="10"/>
  <c r="O126" i="10"/>
  <c r="M126" i="10"/>
  <c r="K126" i="10"/>
  <c r="N126" i="10"/>
  <c r="O17" i="10"/>
  <c r="M17" i="10"/>
  <c r="K17" i="10"/>
  <c r="L17" i="10"/>
  <c r="N17" i="10"/>
  <c r="N212" i="10"/>
  <c r="M212" i="10"/>
  <c r="L212" i="10"/>
  <c r="K212" i="10"/>
  <c r="O212" i="10"/>
  <c r="O33" i="10"/>
  <c r="N33" i="10"/>
  <c r="M33" i="10"/>
  <c r="K33" i="10"/>
  <c r="L33" i="10"/>
  <c r="N164" i="10"/>
  <c r="M164" i="10"/>
  <c r="L164" i="10"/>
  <c r="K164" i="10"/>
  <c r="O164" i="10"/>
  <c r="N159" i="10"/>
  <c r="O159" i="10"/>
  <c r="M159" i="10"/>
  <c r="K159" i="10"/>
  <c r="L159" i="10"/>
  <c r="E8" i="29"/>
  <c r="O10" i="10"/>
  <c r="L10" i="10"/>
  <c r="C8" i="3"/>
  <c r="K10" i="9"/>
  <c r="E8" i="3"/>
  <c r="D8" i="3"/>
  <c r="D8" i="29"/>
  <c r="C8" i="29"/>
  <c r="K10" i="10"/>
  <c r="M10" i="10"/>
  <c r="N10" i="10"/>
  <c r="O70" i="10"/>
  <c r="N70" i="10"/>
  <c r="M70" i="10"/>
  <c r="K70" i="10"/>
  <c r="L70" i="10"/>
  <c r="K28" i="9"/>
  <c r="M28" i="10"/>
  <c r="K28" i="10"/>
  <c r="N28" i="10"/>
  <c r="O28" i="10"/>
  <c r="L28" i="10"/>
  <c r="N116" i="10"/>
  <c r="O116" i="10"/>
  <c r="M116" i="10"/>
  <c r="K116" i="10"/>
  <c r="L116" i="10"/>
  <c r="K36" i="9"/>
  <c r="K36" i="10"/>
  <c r="O36" i="10"/>
  <c r="N36" i="10"/>
  <c r="M36" i="10"/>
  <c r="L36" i="10"/>
  <c r="O231" i="10"/>
  <c r="N231" i="10"/>
  <c r="M231" i="10"/>
  <c r="L231" i="10"/>
  <c r="K231" i="10"/>
  <c r="L110" i="10"/>
  <c r="N110" i="10"/>
  <c r="M110" i="10"/>
  <c r="K110" i="10"/>
  <c r="O110" i="10"/>
  <c r="M305" i="10"/>
  <c r="L305" i="10"/>
  <c r="K305" i="10"/>
  <c r="O305" i="10"/>
  <c r="N305" i="10"/>
  <c r="N195" i="10"/>
  <c r="M195" i="10"/>
  <c r="O195" i="10"/>
  <c r="L195" i="10"/>
  <c r="K195" i="10"/>
  <c r="O138" i="10"/>
  <c r="M138" i="10"/>
  <c r="K138" i="10"/>
  <c r="N138" i="10"/>
  <c r="L138" i="10"/>
  <c r="M29" i="10"/>
  <c r="L29" i="10"/>
  <c r="K29" i="10"/>
  <c r="N29" i="10"/>
  <c r="O29" i="10"/>
  <c r="O224" i="10"/>
  <c r="M224" i="10"/>
  <c r="L224" i="10"/>
  <c r="N224" i="10"/>
  <c r="K224" i="10"/>
  <c r="N307" i="10"/>
  <c r="M307" i="10"/>
  <c r="O307" i="10"/>
  <c r="L307" i="10"/>
  <c r="K307" i="10"/>
  <c r="L174" i="10"/>
  <c r="K174" i="10"/>
  <c r="O174" i="10"/>
  <c r="M174" i="10"/>
  <c r="N174" i="10"/>
  <c r="L200" i="10"/>
  <c r="K200" i="10"/>
  <c r="O200" i="10"/>
  <c r="N200" i="10"/>
  <c r="M200" i="10"/>
  <c r="N276" i="10"/>
  <c r="M276" i="10"/>
  <c r="L276" i="10"/>
  <c r="K276" i="10"/>
  <c r="O276" i="10"/>
  <c r="M67" i="10"/>
  <c r="O67" i="10"/>
  <c r="N67" i="10"/>
  <c r="K67" i="10"/>
  <c r="L67" i="10"/>
  <c r="N111" i="10"/>
  <c r="M111" i="10"/>
  <c r="K111" i="10"/>
  <c r="O111" i="10"/>
  <c r="L111" i="10"/>
  <c r="N133" i="10"/>
  <c r="M133" i="10"/>
  <c r="L133" i="10"/>
  <c r="K133" i="10"/>
  <c r="O133" i="10"/>
  <c r="K155" i="10"/>
  <c r="L155" i="10"/>
  <c r="O155" i="10"/>
  <c r="M155" i="10"/>
  <c r="N155" i="10"/>
  <c r="O178" i="10"/>
  <c r="N178" i="10"/>
  <c r="M178" i="10"/>
  <c r="L178" i="10"/>
  <c r="K178" i="10"/>
  <c r="K48" i="9"/>
  <c r="O48" i="10"/>
  <c r="M48" i="10"/>
  <c r="K48" i="10"/>
  <c r="N48" i="10"/>
  <c r="L48" i="10"/>
  <c r="N243" i="10"/>
  <c r="M243" i="10"/>
  <c r="L243" i="10"/>
  <c r="O243" i="10"/>
  <c r="K243" i="10"/>
  <c r="K123" i="10"/>
  <c r="O123" i="10"/>
  <c r="M123" i="10"/>
  <c r="N123" i="10"/>
  <c r="L123" i="10"/>
  <c r="N14" i="10"/>
  <c r="L14" i="10"/>
  <c r="O14" i="10"/>
  <c r="M14" i="10"/>
  <c r="K14" i="10"/>
  <c r="M209" i="10"/>
  <c r="L209" i="10"/>
  <c r="K209" i="10"/>
  <c r="O209" i="10"/>
  <c r="N209" i="10"/>
  <c r="L149" i="10"/>
  <c r="K149" i="10"/>
  <c r="O149" i="10"/>
  <c r="N149" i="10"/>
  <c r="M149" i="10"/>
  <c r="K41" i="9"/>
  <c r="O41" i="10"/>
  <c r="M41" i="10"/>
  <c r="K41" i="10"/>
  <c r="N41" i="10"/>
  <c r="L41" i="10"/>
  <c r="M236" i="10"/>
  <c r="O236" i="10"/>
  <c r="L236" i="10"/>
  <c r="K236" i="10"/>
  <c r="N236" i="10"/>
  <c r="M20" i="10"/>
  <c r="N20" i="10"/>
  <c r="K20" i="10"/>
  <c r="O20" i="10"/>
  <c r="L20" i="10"/>
  <c r="E20" i="31"/>
  <c r="E113" i="31" s="1"/>
  <c r="E118" i="31" s="1"/>
  <c r="M257" i="10"/>
  <c r="L257" i="10"/>
  <c r="K257" i="10"/>
  <c r="O257" i="10"/>
  <c r="N257" i="10"/>
  <c r="K39" i="9"/>
  <c r="M39" i="10"/>
  <c r="N39" i="10"/>
  <c r="L39" i="10"/>
  <c r="K39" i="10"/>
  <c r="O39" i="10"/>
  <c r="L94" i="10"/>
  <c r="O94" i="10"/>
  <c r="N94" i="10"/>
  <c r="M94" i="10"/>
  <c r="K94" i="10"/>
  <c r="K171" i="10"/>
  <c r="N171" i="10"/>
  <c r="M171" i="10"/>
  <c r="L171" i="10"/>
  <c r="O171" i="10"/>
  <c r="N163" i="10"/>
  <c r="M163" i="10"/>
  <c r="O163" i="10"/>
  <c r="K163" i="10"/>
  <c r="L163" i="10"/>
  <c r="O119" i="10"/>
  <c r="M119" i="10"/>
  <c r="K119" i="10"/>
  <c r="N119" i="10"/>
  <c r="L119" i="10"/>
  <c r="O160" i="10"/>
  <c r="M160" i="10"/>
  <c r="L160" i="10"/>
  <c r="K160" i="10"/>
  <c r="N160" i="10"/>
  <c r="L53" i="10"/>
  <c r="K53" i="10"/>
  <c r="O53" i="10"/>
  <c r="N53" i="10"/>
  <c r="M53" i="10"/>
  <c r="N179" i="10"/>
  <c r="M179" i="10"/>
  <c r="L179" i="10"/>
  <c r="K179" i="10"/>
  <c r="O179" i="10"/>
  <c r="O249" i="10"/>
  <c r="L249" i="10"/>
  <c r="N249" i="10"/>
  <c r="K249" i="10"/>
  <c r="M249" i="10"/>
  <c r="K299" i="10"/>
  <c r="O299" i="10"/>
  <c r="M299" i="10"/>
  <c r="L299" i="10"/>
  <c r="N299" i="10"/>
  <c r="K44" i="9"/>
  <c r="O44" i="10"/>
  <c r="M44" i="10"/>
  <c r="L44" i="10"/>
  <c r="K44" i="10"/>
  <c r="N44" i="10"/>
  <c r="N83" i="10"/>
  <c r="M83" i="10"/>
  <c r="K83" i="10"/>
  <c r="O83" i="10"/>
  <c r="L83" i="10"/>
  <c r="K107" i="9"/>
  <c r="K107" i="10"/>
  <c r="N107" i="10"/>
  <c r="L107" i="10"/>
  <c r="O107" i="10"/>
  <c r="M107" i="10"/>
  <c r="N131" i="10"/>
  <c r="M131" i="10"/>
  <c r="L131" i="10"/>
  <c r="K131" i="10"/>
  <c r="O131" i="10"/>
  <c r="O153" i="10"/>
  <c r="L153" i="10"/>
  <c r="K153" i="10"/>
  <c r="N153" i="10"/>
  <c r="M153" i="10"/>
  <c r="O176" i="10"/>
  <c r="M176" i="10"/>
  <c r="L176" i="10"/>
  <c r="N176" i="10"/>
  <c r="K176" i="10"/>
  <c r="O201" i="10"/>
  <c r="L201" i="10"/>
  <c r="N201" i="10"/>
  <c r="M201" i="10"/>
  <c r="K201" i="10"/>
  <c r="L222" i="10"/>
  <c r="K222" i="10"/>
  <c r="O222" i="10"/>
  <c r="N222" i="10"/>
  <c r="M222" i="10"/>
  <c r="M72" i="10"/>
  <c r="O72" i="10"/>
  <c r="N72" i="10"/>
  <c r="L72" i="10"/>
  <c r="K72" i="10"/>
  <c r="M268" i="10"/>
  <c r="K268" i="10"/>
  <c r="O268" i="10"/>
  <c r="N268" i="10"/>
  <c r="L268" i="10"/>
  <c r="O146" i="10"/>
  <c r="N146" i="10"/>
  <c r="L146" i="10"/>
  <c r="K146" i="10"/>
  <c r="M146" i="10"/>
  <c r="M38" i="10"/>
  <c r="K38" i="10"/>
  <c r="L38" i="10"/>
  <c r="N38" i="10"/>
  <c r="O38" i="10"/>
  <c r="O233" i="10"/>
  <c r="L233" i="10"/>
  <c r="N233" i="10"/>
  <c r="M233" i="10"/>
  <c r="K233" i="10"/>
  <c r="O173" i="10"/>
  <c r="N173" i="10"/>
  <c r="L173" i="10"/>
  <c r="K173" i="10"/>
  <c r="M173" i="10"/>
  <c r="N65" i="10"/>
  <c r="O65" i="10"/>
  <c r="M65" i="10"/>
  <c r="L65" i="10"/>
  <c r="K65" i="10"/>
  <c r="N260" i="10"/>
  <c r="M260" i="10"/>
  <c r="L260" i="10"/>
  <c r="K260" i="10"/>
  <c r="O260" i="10"/>
  <c r="O229" i="10"/>
  <c r="N229" i="10"/>
  <c r="M229" i="10"/>
  <c r="L229" i="10"/>
  <c r="K229" i="10"/>
  <c r="N75" i="10"/>
  <c r="L75" i="10"/>
  <c r="O75" i="10"/>
  <c r="M75" i="10"/>
  <c r="K75" i="10"/>
  <c r="L206" i="10"/>
  <c r="K206" i="10"/>
  <c r="N206" i="10"/>
  <c r="M206" i="10"/>
  <c r="O206" i="10"/>
  <c r="O269" i="10"/>
  <c r="N269" i="10"/>
  <c r="L269" i="10"/>
  <c r="K269" i="10"/>
  <c r="M269" i="10"/>
  <c r="O56" i="10"/>
  <c r="L56" i="10"/>
  <c r="N56" i="10"/>
  <c r="M56" i="10"/>
  <c r="K56" i="10"/>
  <c r="L85" i="10"/>
  <c r="K85" i="10"/>
  <c r="O85" i="10"/>
  <c r="N85" i="10"/>
  <c r="M85" i="10"/>
  <c r="L78" i="10"/>
  <c r="O78" i="10"/>
  <c r="N78" i="10"/>
  <c r="M78" i="10"/>
  <c r="K78" i="10"/>
  <c r="K251" i="10"/>
  <c r="M251" i="10"/>
  <c r="L251" i="10"/>
  <c r="O251" i="10"/>
  <c r="N251" i="10"/>
  <c r="E249" i="3"/>
  <c r="C249" i="29"/>
  <c r="D249" i="29"/>
  <c r="C249" i="3"/>
  <c r="D249" i="3"/>
  <c r="E249" i="29"/>
  <c r="N227" i="10"/>
  <c r="M227" i="10"/>
  <c r="O227" i="10"/>
  <c r="L227" i="10"/>
  <c r="K227" i="10"/>
  <c r="N27" i="10"/>
  <c r="M27" i="10"/>
  <c r="L27" i="10"/>
  <c r="O27" i="10"/>
  <c r="K27" i="10"/>
  <c r="M161" i="10"/>
  <c r="L161" i="10"/>
  <c r="K161" i="10"/>
  <c r="O161" i="10"/>
  <c r="N161" i="10"/>
  <c r="K203" i="10"/>
  <c r="O203" i="10"/>
  <c r="M203" i="10"/>
  <c r="N203" i="10"/>
  <c r="L203" i="10"/>
  <c r="O274" i="10"/>
  <c r="K274" i="10"/>
  <c r="N274" i="10"/>
  <c r="M274" i="10"/>
  <c r="L274" i="10"/>
  <c r="O23" i="10"/>
  <c r="N23" i="10"/>
  <c r="M23" i="10"/>
  <c r="L23" i="10"/>
  <c r="K23" i="10"/>
  <c r="O63" i="10"/>
  <c r="N63" i="10"/>
  <c r="L63" i="10"/>
  <c r="M63" i="10"/>
  <c r="K63" i="10"/>
  <c r="L105" i="10"/>
  <c r="N105" i="10"/>
  <c r="M105" i="10"/>
  <c r="O105" i="10"/>
  <c r="K105" i="10"/>
  <c r="O130" i="10"/>
  <c r="N130" i="10"/>
  <c r="M130" i="10"/>
  <c r="L130" i="10"/>
  <c r="K130" i="10"/>
  <c r="N152" i="10"/>
  <c r="L152" i="10"/>
  <c r="O152" i="10"/>
  <c r="M152" i="10"/>
  <c r="K152" i="10"/>
  <c r="N175" i="10"/>
  <c r="O175" i="10"/>
  <c r="L175" i="10"/>
  <c r="K175" i="10"/>
  <c r="M175" i="10"/>
  <c r="N196" i="10"/>
  <c r="M196" i="10"/>
  <c r="L196" i="10"/>
  <c r="K196" i="10"/>
  <c r="O196" i="10"/>
  <c r="O218" i="10"/>
  <c r="N218" i="10"/>
  <c r="M218" i="10"/>
  <c r="K218" i="10"/>
  <c r="L218" i="10"/>
  <c r="M241" i="10"/>
  <c r="L241" i="10"/>
  <c r="K241" i="10"/>
  <c r="O241" i="10"/>
  <c r="N241" i="10"/>
  <c r="N84" i="10"/>
  <c r="M84" i="10"/>
  <c r="O84" i="10"/>
  <c r="K84" i="10"/>
  <c r="L84" i="10"/>
  <c r="K280" i="10"/>
  <c r="O280" i="10"/>
  <c r="L280" i="10"/>
  <c r="N280" i="10"/>
  <c r="M280" i="10"/>
  <c r="L158" i="10"/>
  <c r="K158" i="10"/>
  <c r="N158" i="10"/>
  <c r="M158" i="10"/>
  <c r="O158" i="10"/>
  <c r="O50" i="10"/>
  <c r="N50" i="10"/>
  <c r="M50" i="10"/>
  <c r="L50" i="10"/>
  <c r="K50" i="10"/>
  <c r="M245" i="10"/>
  <c r="L245" i="10"/>
  <c r="K245" i="10"/>
  <c r="N245" i="10"/>
  <c r="O245" i="10"/>
  <c r="O185" i="10"/>
  <c r="L185" i="10"/>
  <c r="N185" i="10"/>
  <c r="K185" i="10"/>
  <c r="M185" i="10"/>
  <c r="K77" i="10"/>
  <c r="L77" i="10"/>
  <c r="N77" i="10"/>
  <c r="M77" i="10"/>
  <c r="O77" i="10"/>
  <c r="M273" i="10"/>
  <c r="L273" i="10"/>
  <c r="K273" i="10"/>
  <c r="O273" i="10"/>
  <c r="N273" i="10"/>
  <c r="O88" i="10"/>
  <c r="M88" i="10"/>
  <c r="N88" i="10"/>
  <c r="K88" i="10"/>
  <c r="L88" i="10"/>
  <c r="N32" i="10"/>
  <c r="M32" i="10"/>
  <c r="L32" i="10"/>
  <c r="O32" i="10"/>
  <c r="K32" i="10"/>
  <c r="O114" i="10"/>
  <c r="M114" i="10"/>
  <c r="L114" i="10"/>
  <c r="K114" i="10"/>
  <c r="N114" i="10"/>
  <c r="M46" i="10"/>
  <c r="L46" i="10"/>
  <c r="K46" i="10"/>
  <c r="O46" i="10"/>
  <c r="N46" i="10"/>
  <c r="K90" i="10"/>
  <c r="O90" i="10"/>
  <c r="N90" i="10"/>
  <c r="M90" i="10"/>
  <c r="L90" i="10"/>
  <c r="O82" i="10"/>
  <c r="N82" i="10"/>
  <c r="M82" i="10"/>
  <c r="L82" i="10"/>
  <c r="K82" i="10"/>
  <c r="N292" i="10"/>
  <c r="M292" i="10"/>
  <c r="L292" i="10"/>
  <c r="K292" i="10"/>
  <c r="O292" i="10"/>
  <c r="L89" i="10"/>
  <c r="K89" i="10"/>
  <c r="M89" i="10"/>
  <c r="O89" i="10"/>
  <c r="N89" i="10"/>
  <c r="O285" i="10"/>
  <c r="N285" i="10"/>
  <c r="L285" i="10"/>
  <c r="K285" i="10"/>
  <c r="M285" i="10"/>
  <c r="L142" i="10"/>
  <c r="K142" i="10"/>
  <c r="N142" i="10"/>
  <c r="M142" i="10"/>
  <c r="O142" i="10"/>
  <c r="O61" i="10"/>
  <c r="K61" i="10"/>
  <c r="L61" i="10"/>
  <c r="N61" i="10"/>
  <c r="M61" i="10"/>
  <c r="K11" i="9"/>
  <c r="L11" i="10"/>
  <c r="K11" i="10"/>
  <c r="N11" i="10"/>
  <c r="O11" i="10"/>
  <c r="M11" i="10"/>
  <c r="M73" i="10"/>
  <c r="O73" i="10"/>
  <c r="N73" i="10"/>
  <c r="L73" i="10"/>
  <c r="K73" i="10"/>
  <c r="O184" i="10"/>
  <c r="N184" i="10"/>
  <c r="L184" i="10"/>
  <c r="K184" i="10"/>
  <c r="M184" i="10"/>
  <c r="N207" i="10"/>
  <c r="O207" i="10"/>
  <c r="M207" i="10"/>
  <c r="L207" i="10"/>
  <c r="K207" i="10"/>
  <c r="O301" i="10"/>
  <c r="N301" i="10"/>
  <c r="L301" i="10"/>
  <c r="K301" i="10"/>
  <c r="M301" i="10"/>
  <c r="N248" i="10"/>
  <c r="L248" i="10"/>
  <c r="K248" i="10"/>
  <c r="O248" i="10"/>
  <c r="M248" i="10"/>
  <c r="O298" i="10"/>
  <c r="N298" i="10"/>
  <c r="M298" i="10"/>
  <c r="K298" i="10"/>
  <c r="L298" i="10"/>
  <c r="M172" i="10"/>
  <c r="O172" i="10"/>
  <c r="K172" i="10"/>
  <c r="N172" i="10"/>
  <c r="L172" i="10"/>
  <c r="M96" i="10"/>
  <c r="L96" i="10"/>
  <c r="O96" i="10"/>
  <c r="N96" i="10"/>
  <c r="K96" i="10"/>
  <c r="N148" i="10"/>
  <c r="M148" i="10"/>
  <c r="K148" i="10"/>
  <c r="O148" i="10"/>
  <c r="L148" i="10"/>
  <c r="O167" i="10"/>
  <c r="N167" i="10"/>
  <c r="M167" i="10"/>
  <c r="L167" i="10"/>
  <c r="K167" i="10"/>
  <c r="N191" i="10"/>
  <c r="M191" i="10"/>
  <c r="K191" i="10"/>
  <c r="O191" i="10"/>
  <c r="L191" i="10"/>
  <c r="O216" i="10"/>
  <c r="N216" i="10"/>
  <c r="L216" i="10"/>
  <c r="M216" i="10"/>
  <c r="K216" i="10"/>
  <c r="N239" i="10"/>
  <c r="M239" i="10"/>
  <c r="L239" i="10"/>
  <c r="K239" i="10"/>
  <c r="O239" i="10"/>
  <c r="O264" i="10"/>
  <c r="N264" i="10"/>
  <c r="M264" i="10"/>
  <c r="K264" i="10"/>
  <c r="L264" i="10"/>
  <c r="O290" i="10"/>
  <c r="N290" i="10"/>
  <c r="M290" i="10"/>
  <c r="L290" i="10"/>
  <c r="K290" i="10"/>
  <c r="L109" i="10"/>
  <c r="O109" i="10"/>
  <c r="N109" i="10"/>
  <c r="M109" i="10"/>
  <c r="K109" i="10"/>
  <c r="O304" i="10"/>
  <c r="M304" i="10"/>
  <c r="L304" i="10"/>
  <c r="N304" i="10"/>
  <c r="K304" i="10"/>
  <c r="O182" i="10"/>
  <c r="N182" i="10"/>
  <c r="K182" i="10"/>
  <c r="M182" i="10"/>
  <c r="L182" i="10"/>
  <c r="M74" i="10"/>
  <c r="N74" i="10"/>
  <c r="L74" i="10"/>
  <c r="K74" i="10"/>
  <c r="O74" i="10"/>
  <c r="L270" i="10"/>
  <c r="K270" i="10"/>
  <c r="O270" i="10"/>
  <c r="N270" i="10"/>
  <c r="M270" i="10"/>
  <c r="N211" i="10"/>
  <c r="M211" i="10"/>
  <c r="K211" i="10"/>
  <c r="L211" i="10"/>
  <c r="O211" i="10"/>
  <c r="K101" i="10"/>
  <c r="O101" i="10"/>
  <c r="N101" i="10"/>
  <c r="M101" i="10"/>
  <c r="L101" i="10"/>
  <c r="O297" i="10"/>
  <c r="L297" i="10"/>
  <c r="K297" i="10"/>
  <c r="N297" i="10"/>
  <c r="M297" i="10"/>
  <c r="L54" i="10"/>
  <c r="O54" i="10"/>
  <c r="N54" i="10"/>
  <c r="M54" i="10"/>
  <c r="K54" i="10"/>
  <c r="N99" i="10"/>
  <c r="O99" i="10"/>
  <c r="L99" i="10"/>
  <c r="M99" i="10"/>
  <c r="K99" i="10"/>
  <c r="O186" i="10"/>
  <c r="N186" i="10"/>
  <c r="M186" i="10"/>
  <c r="K186" i="10"/>
  <c r="L186" i="10"/>
  <c r="N277" i="10"/>
  <c r="L277" i="10"/>
  <c r="K277" i="10"/>
  <c r="O277" i="10"/>
  <c r="M277" i="10"/>
  <c r="K51" i="10"/>
  <c r="O51" i="10"/>
  <c r="M51" i="10"/>
  <c r="L51" i="10"/>
  <c r="N51" i="10"/>
  <c r="L93" i="10"/>
  <c r="K93" i="10"/>
  <c r="O93" i="10"/>
  <c r="N93" i="10"/>
  <c r="M93" i="10"/>
  <c r="M156" i="10"/>
  <c r="N156" i="10"/>
  <c r="L156" i="10"/>
  <c r="K156" i="10"/>
  <c r="O156" i="10"/>
  <c r="M204" i="10"/>
  <c r="L204" i="10"/>
  <c r="O204" i="10"/>
  <c r="N204" i="10"/>
  <c r="K204" i="10"/>
  <c r="O226" i="10"/>
  <c r="M226" i="10"/>
  <c r="K226" i="10"/>
  <c r="N226" i="10"/>
  <c r="L226" i="10"/>
  <c r="O154" i="10"/>
  <c r="N154" i="10"/>
  <c r="M154" i="10"/>
  <c r="K154" i="10"/>
  <c r="L154" i="10"/>
  <c r="L26" i="10"/>
  <c r="K26" i="10"/>
  <c r="N26" i="10"/>
  <c r="O26" i="10"/>
  <c r="M26" i="10"/>
  <c r="K43" i="10"/>
  <c r="O43" i="10"/>
  <c r="N43" i="10"/>
  <c r="L43" i="10"/>
  <c r="M43" i="10"/>
  <c r="O217" i="10"/>
  <c r="L217" i="10"/>
  <c r="N217" i="10"/>
  <c r="M217" i="10"/>
  <c r="K217" i="10"/>
  <c r="O258" i="10"/>
  <c r="N258" i="10"/>
  <c r="M258" i="10"/>
  <c r="K258" i="10"/>
  <c r="L258" i="10"/>
  <c r="K59" i="10"/>
  <c r="N59" i="10"/>
  <c r="L59" i="10"/>
  <c r="O59" i="10"/>
  <c r="M59" i="10"/>
  <c r="N271" i="10"/>
  <c r="O271" i="10"/>
  <c r="L271" i="10"/>
  <c r="M271" i="10"/>
  <c r="K271" i="10"/>
  <c r="O168" i="10"/>
  <c r="M168" i="10"/>
  <c r="L168" i="10"/>
  <c r="K168" i="10"/>
  <c r="N168" i="10"/>
  <c r="O263" i="10"/>
  <c r="N263" i="10"/>
  <c r="M263" i="10"/>
  <c r="L263" i="10"/>
  <c r="K263" i="10"/>
  <c r="K315" i="10"/>
  <c r="E313" i="3"/>
  <c r="D313" i="3"/>
  <c r="D313" i="29"/>
  <c r="C313" i="29"/>
  <c r="O315" i="10"/>
  <c r="N315" i="10"/>
  <c r="E313" i="29"/>
  <c r="L315" i="10"/>
  <c r="C313" i="3"/>
  <c r="M315" i="10"/>
  <c r="O282" i="10"/>
  <c r="N282" i="10"/>
  <c r="M282" i="10"/>
  <c r="K282" i="10"/>
  <c r="L282" i="10"/>
  <c r="M58" i="10"/>
  <c r="L58" i="10"/>
  <c r="K58" i="10"/>
  <c r="O58" i="10"/>
  <c r="N58" i="10"/>
  <c r="O237" i="10"/>
  <c r="N237" i="10"/>
  <c r="L237" i="10"/>
  <c r="K237" i="10"/>
  <c r="M237" i="10"/>
  <c r="C311" i="3"/>
  <c r="D311" i="3"/>
  <c r="O313" i="10"/>
  <c r="L313" i="10"/>
  <c r="M313" i="10"/>
  <c r="K313" i="10"/>
  <c r="N313" i="10"/>
  <c r="E311" i="3"/>
  <c r="O242" i="10"/>
  <c r="N242" i="10"/>
  <c r="L242" i="10"/>
  <c r="K242" i="10"/>
  <c r="M242" i="10"/>
  <c r="O134" i="10"/>
  <c r="N134" i="10"/>
  <c r="K134" i="10"/>
  <c r="L134" i="10"/>
  <c r="M134" i="10"/>
  <c r="O208" i="10"/>
  <c r="M208" i="10"/>
  <c r="L208" i="10"/>
  <c r="N208" i="10"/>
  <c r="K208" i="10"/>
  <c r="O98" i="10"/>
  <c r="N98" i="10"/>
  <c r="M98" i="10"/>
  <c r="L98" i="10"/>
  <c r="K98" i="10"/>
  <c r="O294" i="10"/>
  <c r="N294" i="10"/>
  <c r="K294" i="10"/>
  <c r="M294" i="10"/>
  <c r="L294" i="10"/>
  <c r="K235" i="10"/>
  <c r="O235" i="10"/>
  <c r="N235" i="10"/>
  <c r="M235" i="10"/>
  <c r="L235" i="10"/>
  <c r="N127" i="10"/>
  <c r="O127" i="10"/>
  <c r="L127" i="10"/>
  <c r="M127" i="10"/>
  <c r="K127" i="10"/>
  <c r="O197" i="10"/>
  <c r="M197" i="10"/>
  <c r="K197" i="10"/>
  <c r="L197" i="10"/>
  <c r="N197" i="10"/>
  <c r="N79" i="10"/>
  <c r="M79" i="10"/>
  <c r="K79" i="10"/>
  <c r="L79" i="10"/>
  <c r="O79" i="10"/>
  <c r="N291" i="10"/>
  <c r="M291" i="10"/>
  <c r="O291" i="10"/>
  <c r="L291" i="10"/>
  <c r="K291" i="10"/>
  <c r="M252" i="10"/>
  <c r="O252" i="10"/>
  <c r="N252" i="10"/>
  <c r="L252" i="10"/>
  <c r="K252" i="10"/>
  <c r="N296" i="10"/>
  <c r="K296" i="10"/>
  <c r="M296" i="10"/>
  <c r="L296" i="10"/>
  <c r="O296" i="10"/>
  <c r="N120" i="10"/>
  <c r="M120" i="10"/>
  <c r="L120" i="10"/>
  <c r="K120" i="10"/>
  <c r="O120" i="10"/>
  <c r="K31" i="9"/>
  <c r="N31" i="10"/>
  <c r="L31" i="10"/>
  <c r="K31" i="10"/>
  <c r="M31" i="10"/>
  <c r="O31" i="10"/>
  <c r="O137" i="10"/>
  <c r="L137" i="10"/>
  <c r="N137" i="10"/>
  <c r="K137" i="10"/>
  <c r="M137" i="10"/>
  <c r="N141" i="10"/>
  <c r="L141" i="10"/>
  <c r="K141" i="10"/>
  <c r="O141" i="10"/>
  <c r="M141" i="10"/>
  <c r="M300" i="10"/>
  <c r="O300" i="10"/>
  <c r="L300" i="10"/>
  <c r="N300" i="10"/>
  <c r="K300" i="10"/>
  <c r="N66" i="10"/>
  <c r="L66" i="10"/>
  <c r="K66" i="10"/>
  <c r="O66" i="10"/>
  <c r="M66" i="10"/>
  <c r="M177" i="10"/>
  <c r="L177" i="10"/>
  <c r="K177" i="10"/>
  <c r="N177" i="10"/>
  <c r="O177" i="10"/>
  <c r="O256" i="10"/>
  <c r="M256" i="10"/>
  <c r="L256" i="10"/>
  <c r="N256" i="10"/>
  <c r="K256" i="10"/>
  <c r="O151" i="10"/>
  <c r="N151" i="10"/>
  <c r="L151" i="10"/>
  <c r="M151" i="10"/>
  <c r="K151" i="10"/>
  <c r="O265" i="10"/>
  <c r="L265" i="10"/>
  <c r="M265" i="10"/>
  <c r="N265" i="10"/>
  <c r="K265" i="10"/>
  <c r="L62" i="10"/>
  <c r="O62" i="10"/>
  <c r="M62" i="10"/>
  <c r="K62" i="10"/>
  <c r="N62" i="10"/>
  <c r="O246" i="10"/>
  <c r="N246" i="10"/>
  <c r="K246" i="10"/>
  <c r="M246" i="10"/>
  <c r="L246" i="10"/>
  <c r="K22" i="9"/>
  <c r="N22" i="10"/>
  <c r="M22" i="10"/>
  <c r="L22" i="10"/>
  <c r="K22" i="10"/>
  <c r="O22" i="10"/>
  <c r="L190" i="10"/>
  <c r="K190" i="10"/>
  <c r="O190" i="10"/>
  <c r="N190" i="10"/>
  <c r="M190" i="10"/>
  <c r="E312" i="3"/>
  <c r="D312" i="3"/>
  <c r="C312" i="3"/>
  <c r="O314" i="10"/>
  <c r="N314" i="10"/>
  <c r="M314" i="10"/>
  <c r="E312" i="29"/>
  <c r="K314" i="10"/>
  <c r="D312" i="29"/>
  <c r="C312" i="29"/>
  <c r="L314" i="10"/>
  <c r="N115" i="10"/>
  <c r="M115" i="10"/>
  <c r="K115" i="10"/>
  <c r="L115" i="10"/>
  <c r="O115" i="10"/>
  <c r="O189" i="10"/>
  <c r="N189" i="10"/>
  <c r="L189" i="10"/>
  <c r="K189" i="10"/>
  <c r="M189" i="10"/>
  <c r="O288" i="10"/>
  <c r="M288" i="10"/>
  <c r="L288" i="10"/>
  <c r="K288" i="10"/>
  <c r="N288" i="10"/>
  <c r="N21" i="10"/>
  <c r="M21" i="10"/>
  <c r="K21" i="10"/>
  <c r="O21" i="10"/>
  <c r="L21" i="10"/>
  <c r="O166" i="10"/>
  <c r="N166" i="10"/>
  <c r="K166" i="10"/>
  <c r="L166" i="10"/>
  <c r="M166" i="10"/>
  <c r="N213" i="10"/>
  <c r="M213" i="10"/>
  <c r="L213" i="10"/>
  <c r="O213" i="10"/>
  <c r="K213" i="10"/>
  <c r="O234" i="10"/>
  <c r="N234" i="10"/>
  <c r="M234" i="10"/>
  <c r="K234" i="10"/>
  <c r="L234" i="10"/>
  <c r="M261" i="10"/>
  <c r="O261" i="10"/>
  <c r="N261" i="10"/>
  <c r="K261" i="10"/>
  <c r="L261" i="10"/>
  <c r="N287" i="10"/>
  <c r="M287" i="10"/>
  <c r="L287" i="10"/>
  <c r="K287" i="10"/>
  <c r="O287" i="10"/>
  <c r="N312" i="10"/>
  <c r="O312" i="10"/>
  <c r="L312" i="10"/>
  <c r="M312" i="10"/>
  <c r="K312" i="10"/>
  <c r="O19" i="10"/>
  <c r="N19" i="10"/>
  <c r="M19" i="10"/>
  <c r="L19" i="10"/>
  <c r="K19" i="10"/>
  <c r="N255" i="10"/>
  <c r="O255" i="10"/>
  <c r="M255" i="10"/>
  <c r="K255" i="10"/>
  <c r="L255" i="10"/>
  <c r="M145" i="10"/>
  <c r="L145" i="10"/>
  <c r="O145" i="10"/>
  <c r="N145" i="10"/>
  <c r="K145" i="10"/>
  <c r="O25" i="10"/>
  <c r="N25" i="10"/>
  <c r="K25" i="10"/>
  <c r="L25" i="10"/>
  <c r="M25" i="10"/>
  <c r="M220" i="10"/>
  <c r="N220" i="10"/>
  <c r="K220" i="10"/>
  <c r="O220" i="10"/>
  <c r="L220" i="10"/>
  <c r="M112" i="10"/>
  <c r="O112" i="10"/>
  <c r="K112" i="10"/>
  <c r="N112" i="10"/>
  <c r="L112" i="10"/>
  <c r="O306" i="10"/>
  <c r="N306" i="10"/>
  <c r="L306" i="10"/>
  <c r="M306" i="10"/>
  <c r="K306" i="10"/>
  <c r="O247" i="10"/>
  <c r="N247" i="10"/>
  <c r="M247" i="10"/>
  <c r="L247" i="10"/>
  <c r="K247" i="10"/>
  <c r="K139" i="10"/>
  <c r="L139" i="10"/>
  <c r="O139" i="10"/>
  <c r="N139" i="10"/>
  <c r="M139" i="10"/>
  <c r="K267" i="10"/>
  <c r="O267" i="10"/>
  <c r="M267" i="10"/>
  <c r="N267" i="10"/>
  <c r="L267" i="10"/>
  <c r="K187" i="10"/>
  <c r="N187" i="10"/>
  <c r="O187" i="10"/>
  <c r="L187" i="10"/>
  <c r="M187" i="10"/>
  <c r="N147" i="10"/>
  <c r="M147" i="10"/>
  <c r="L147" i="10"/>
  <c r="K147" i="10"/>
  <c r="O147" i="10"/>
  <c r="N303" i="10"/>
  <c r="O303" i="10"/>
  <c r="K303" i="10"/>
  <c r="M303" i="10"/>
  <c r="L303" i="10"/>
  <c r="N308" i="10"/>
  <c r="M308" i="10"/>
  <c r="L308" i="10"/>
  <c r="K308" i="10"/>
  <c r="O308" i="10"/>
  <c r="O68" i="10"/>
  <c r="L68" i="10"/>
  <c r="K68" i="10"/>
  <c r="N68" i="10"/>
  <c r="M68" i="10"/>
  <c r="M108" i="10"/>
  <c r="O108" i="10"/>
  <c r="N108" i="10"/>
  <c r="K108" i="10"/>
  <c r="L108" i="10"/>
  <c r="O221" i="10"/>
  <c r="N221" i="10"/>
  <c r="L221" i="10"/>
  <c r="K221" i="10"/>
  <c r="M221" i="10"/>
  <c r="M129" i="10"/>
  <c r="L129" i="10"/>
  <c r="O129" i="10"/>
  <c r="N129" i="10"/>
  <c r="K129" i="10"/>
  <c r="O240" i="10"/>
  <c r="M240" i="10"/>
  <c r="L240" i="10"/>
  <c r="K240" i="10"/>
  <c r="N240" i="10"/>
  <c r="O170" i="10"/>
  <c r="N170" i="10"/>
  <c r="M170" i="10"/>
  <c r="K170" i="10"/>
  <c r="L170" i="10"/>
  <c r="O104" i="10"/>
  <c r="N104" i="10"/>
  <c r="M104" i="10"/>
  <c r="L104" i="10"/>
  <c r="K104" i="10"/>
  <c r="M81" i="10"/>
  <c r="L81" i="10"/>
  <c r="K81" i="10"/>
  <c r="O81" i="10"/>
  <c r="N81" i="10"/>
  <c r="O128" i="10"/>
  <c r="M128" i="10"/>
  <c r="N128" i="10"/>
  <c r="L128" i="10"/>
  <c r="K128" i="10"/>
  <c r="O215" i="10"/>
  <c r="N215" i="10"/>
  <c r="M215" i="10"/>
  <c r="L215" i="10"/>
  <c r="K215" i="10"/>
  <c r="M289" i="10"/>
  <c r="L289" i="10"/>
  <c r="K289" i="10"/>
  <c r="N289" i="10"/>
  <c r="O289" i="10"/>
  <c r="K122" i="10"/>
  <c r="O122" i="10"/>
  <c r="M122" i="10"/>
  <c r="L122" i="10"/>
  <c r="N122" i="10"/>
  <c r="O194" i="10"/>
  <c r="L194" i="10"/>
  <c r="K194" i="10"/>
  <c r="N194" i="10"/>
  <c r="M194" i="10"/>
  <c r="N223" i="10"/>
  <c r="L223" i="10"/>
  <c r="K223" i="10"/>
  <c r="M223" i="10"/>
  <c r="O223" i="10"/>
  <c r="O103" i="10"/>
  <c r="N103" i="10"/>
  <c r="L103" i="10"/>
  <c r="M103" i="10"/>
  <c r="K103" i="10"/>
  <c r="K13" i="10"/>
  <c r="O13" i="10"/>
  <c r="N13" i="10"/>
  <c r="M13" i="10"/>
  <c r="L13" i="10"/>
  <c r="M80" i="10"/>
  <c r="O80" i="10"/>
  <c r="N80" i="10"/>
  <c r="K80" i="10"/>
  <c r="L80" i="10"/>
  <c r="L125" i="10"/>
  <c r="O125" i="10"/>
  <c r="K125" i="10"/>
  <c r="N125" i="10"/>
  <c r="M125" i="10"/>
  <c r="O40" i="10"/>
  <c r="N40" i="10"/>
  <c r="K40" i="10"/>
  <c r="M40" i="10"/>
  <c r="L40" i="10"/>
  <c r="O102" i="10"/>
  <c r="K102" i="10"/>
  <c r="N102" i="10"/>
  <c r="M102" i="10"/>
  <c r="L102" i="10"/>
  <c r="N143" i="10"/>
  <c r="O143" i="10"/>
  <c r="M143" i="10"/>
  <c r="K143" i="10"/>
  <c r="L143" i="10"/>
  <c r="M188" i="10"/>
  <c r="L188" i="10"/>
  <c r="K188" i="10"/>
  <c r="N188" i="10"/>
  <c r="O188" i="10"/>
  <c r="O230" i="10"/>
  <c r="N230" i="10"/>
  <c r="K230" i="10"/>
  <c r="M230" i="10"/>
  <c r="L230" i="10"/>
  <c r="K198" i="9"/>
  <c r="O198" i="10"/>
  <c r="N198" i="10"/>
  <c r="K198" i="10"/>
  <c r="M198" i="10"/>
  <c r="L198" i="10"/>
  <c r="L286" i="10"/>
  <c r="K286" i="10"/>
  <c r="O286" i="10"/>
  <c r="N286" i="10"/>
  <c r="M286" i="10"/>
  <c r="O311" i="10"/>
  <c r="N311" i="10"/>
  <c r="M311" i="10"/>
  <c r="L311" i="10"/>
  <c r="K311" i="10"/>
  <c r="K18" i="9"/>
  <c r="O18" i="10"/>
  <c r="N18" i="10"/>
  <c r="M18" i="10"/>
  <c r="K18" i="10"/>
  <c r="L18" i="10"/>
  <c r="K35" i="9"/>
  <c r="O35" i="10"/>
  <c r="N35" i="10"/>
  <c r="M35" i="10"/>
  <c r="L35" i="10"/>
  <c r="K35" i="10"/>
  <c r="O266" i="10"/>
  <c r="N266" i="10"/>
  <c r="M266" i="10"/>
  <c r="K266" i="10"/>
  <c r="L266" i="10"/>
  <c r="O157" i="10"/>
  <c r="N157" i="10"/>
  <c r="L157" i="10"/>
  <c r="K157" i="10"/>
  <c r="M157" i="10"/>
  <c r="K37" i="9"/>
  <c r="M37" i="10"/>
  <c r="N37" i="10"/>
  <c r="L37" i="10"/>
  <c r="K37" i="10"/>
  <c r="O37" i="10"/>
  <c r="O232" i="10"/>
  <c r="M232" i="10"/>
  <c r="K232" i="10"/>
  <c r="N232" i="10"/>
  <c r="L232" i="10"/>
  <c r="M124" i="10"/>
  <c r="N124" i="10"/>
  <c r="L124" i="10"/>
  <c r="K124" i="10"/>
  <c r="O124" i="10"/>
  <c r="L64" i="10"/>
  <c r="N64" i="10"/>
  <c r="M64" i="10"/>
  <c r="K64" i="10"/>
  <c r="O64" i="10"/>
  <c r="N259" i="10"/>
  <c r="M259" i="10"/>
  <c r="O259" i="10"/>
  <c r="K259" i="10"/>
  <c r="L259" i="10"/>
  <c r="O150" i="10"/>
  <c r="N150" i="10"/>
  <c r="K150" i="10"/>
  <c r="M150" i="10"/>
  <c r="L150" i="10"/>
  <c r="M113" i="10"/>
  <c r="O113" i="10"/>
  <c r="N113" i="10"/>
  <c r="K113" i="10"/>
  <c r="L113" i="10"/>
  <c r="K15" i="9"/>
  <c r="N15" i="10"/>
  <c r="M15" i="10"/>
  <c r="L15" i="10"/>
  <c r="O15" i="10"/>
  <c r="K15" i="10"/>
  <c r="M284" i="10"/>
  <c r="O284" i="10"/>
  <c r="N284" i="10"/>
  <c r="K284" i="10"/>
  <c r="L284" i="10"/>
  <c r="L302" i="10"/>
  <c r="K302" i="10"/>
  <c r="N302" i="10"/>
  <c r="M302" i="10"/>
  <c r="O302" i="10"/>
  <c r="O71" i="10"/>
  <c r="N71" i="10"/>
  <c r="L71" i="10"/>
  <c r="M71" i="10"/>
  <c r="K71" i="10"/>
  <c r="M193" i="10"/>
  <c r="L193" i="10"/>
  <c r="K193" i="10"/>
  <c r="O193" i="10"/>
  <c r="N193" i="10"/>
  <c r="O281" i="10"/>
  <c r="L281" i="10"/>
  <c r="N281" i="10"/>
  <c r="M281" i="10"/>
  <c r="K281" i="10"/>
  <c r="N180" i="10"/>
  <c r="M180" i="10"/>
  <c r="L180" i="10"/>
  <c r="K180" i="10"/>
  <c r="O180" i="10"/>
  <c r="K91" i="10"/>
  <c r="O91" i="10"/>
  <c r="M91" i="10"/>
  <c r="N91" i="10"/>
  <c r="L91" i="10"/>
  <c r="O250" i="10"/>
  <c r="N250" i="10"/>
  <c r="M250" i="10"/>
  <c r="K250" i="10"/>
  <c r="L250" i="10"/>
  <c r="N45" i="10"/>
  <c r="L45" i="10"/>
  <c r="K45" i="10"/>
  <c r="M45" i="10"/>
  <c r="O45" i="10"/>
  <c r="N275" i="10"/>
  <c r="M275" i="10"/>
  <c r="O275" i="10"/>
  <c r="L275" i="10"/>
  <c r="K275" i="10"/>
  <c r="O87" i="10"/>
  <c r="M87" i="10"/>
  <c r="K87" i="10"/>
  <c r="N87" i="10"/>
  <c r="L87" i="10"/>
  <c r="N132" i="10"/>
  <c r="M132" i="10"/>
  <c r="K132" i="10"/>
  <c r="L132" i="10"/>
  <c r="O132" i="10"/>
  <c r="O202" i="10"/>
  <c r="N202" i="10"/>
  <c r="M202" i="10"/>
  <c r="K202" i="10"/>
  <c r="L202" i="10"/>
  <c r="O60" i="10"/>
  <c r="N60" i="10"/>
  <c r="M60" i="10"/>
  <c r="L60" i="10"/>
  <c r="K60" i="10"/>
  <c r="O135" i="10"/>
  <c r="N135" i="10"/>
  <c r="L135" i="10"/>
  <c r="M135" i="10"/>
  <c r="K135" i="10"/>
  <c r="M225" i="10"/>
  <c r="L225" i="10"/>
  <c r="K225" i="10"/>
  <c r="N225" i="10"/>
  <c r="O225" i="10"/>
  <c r="O192" i="10"/>
  <c r="M192" i="10"/>
  <c r="L192" i="10"/>
  <c r="K192" i="10"/>
  <c r="N192" i="10"/>
  <c r="O199" i="10"/>
  <c r="N199" i="10"/>
  <c r="M199" i="10"/>
  <c r="L199" i="10"/>
  <c r="K199" i="10"/>
  <c r="K42" i="9"/>
  <c r="M42" i="10"/>
  <c r="O42" i="10"/>
  <c r="N42" i="10"/>
  <c r="L42" i="10"/>
  <c r="K42" i="10"/>
  <c r="L238" i="10"/>
  <c r="K238" i="10"/>
  <c r="O238" i="10"/>
  <c r="M238" i="10"/>
  <c r="N238" i="10"/>
  <c r="O86" i="10"/>
  <c r="K86" i="10"/>
  <c r="N86" i="10"/>
  <c r="M86" i="10"/>
  <c r="L86" i="10"/>
  <c r="O309" i="10"/>
  <c r="N309" i="10"/>
  <c r="M309" i="10"/>
  <c r="L309" i="10"/>
  <c r="K309" i="10"/>
  <c r="O295" i="10"/>
  <c r="N295" i="10"/>
  <c r="M295" i="10"/>
  <c r="L295" i="10"/>
  <c r="K295" i="10"/>
  <c r="O144" i="10"/>
  <c r="M144" i="10"/>
  <c r="L144" i="10"/>
  <c r="N144" i="10"/>
  <c r="K144" i="10"/>
  <c r="O214" i="10"/>
  <c r="N214" i="10"/>
  <c r="K214" i="10"/>
  <c r="L214" i="10"/>
  <c r="M214" i="10"/>
  <c r="O262" i="10"/>
  <c r="N262" i="10"/>
  <c r="K262" i="10"/>
  <c r="L262" i="10"/>
  <c r="M262" i="10"/>
  <c r="N95" i="10"/>
  <c r="O95" i="10"/>
  <c r="L95" i="10"/>
  <c r="M95" i="10"/>
  <c r="K95" i="10"/>
  <c r="M57" i="10"/>
  <c r="N57" i="10"/>
  <c r="O57" i="10"/>
  <c r="L57" i="10"/>
  <c r="K57" i="10"/>
  <c r="L121" i="10"/>
  <c r="O121" i="10"/>
  <c r="K121" i="10"/>
  <c r="N121" i="10"/>
  <c r="M121" i="10"/>
  <c r="N165" i="10"/>
  <c r="M165" i="10"/>
  <c r="L165" i="10"/>
  <c r="K165" i="10"/>
  <c r="O165" i="10"/>
  <c r="O210" i="10"/>
  <c r="N210" i="10"/>
  <c r="M210" i="10"/>
  <c r="L210" i="10"/>
  <c r="K210" i="10"/>
  <c r="L254" i="10"/>
  <c r="K254" i="10"/>
  <c r="N254" i="10"/>
  <c r="O254" i="10"/>
  <c r="M254" i="10"/>
  <c r="K283" i="10"/>
  <c r="N283" i="10"/>
  <c r="L283" i="10"/>
  <c r="O283" i="10"/>
  <c r="M283" i="10"/>
  <c r="O310" i="10"/>
  <c r="N310" i="10"/>
  <c r="K310" i="10"/>
  <c r="L310" i="10"/>
  <c r="M310" i="10"/>
  <c r="O16" i="10"/>
  <c r="N16" i="10"/>
  <c r="M16" i="10"/>
  <c r="L16" i="10"/>
  <c r="K16" i="10"/>
  <c r="K34" i="9"/>
  <c r="O34" i="10"/>
  <c r="M34" i="10"/>
  <c r="K34" i="10"/>
  <c r="N34" i="10"/>
  <c r="L34" i="10"/>
  <c r="N55" i="10"/>
  <c r="O55" i="10"/>
  <c r="L55" i="10"/>
  <c r="M55" i="10"/>
  <c r="K55" i="10"/>
  <c r="O279" i="10"/>
  <c r="N279" i="10"/>
  <c r="M279" i="10"/>
  <c r="L279" i="10"/>
  <c r="K279" i="10"/>
  <c r="O169" i="10"/>
  <c r="L169" i="10"/>
  <c r="M169" i="10"/>
  <c r="N169" i="10"/>
  <c r="K169" i="10"/>
  <c r="O49" i="10"/>
  <c r="N49" i="10"/>
  <c r="M49" i="10"/>
  <c r="K49" i="10"/>
  <c r="L49" i="10"/>
  <c r="N244" i="10"/>
  <c r="M244" i="10"/>
  <c r="L244" i="10"/>
  <c r="K244" i="10"/>
  <c r="O244" i="10"/>
  <c r="N136" i="10"/>
  <c r="L136" i="10"/>
  <c r="K136" i="10"/>
  <c r="O136" i="10"/>
  <c r="M136" i="10"/>
  <c r="O76" i="10"/>
  <c r="K76" i="10"/>
  <c r="N76" i="10"/>
  <c r="L76" i="10"/>
  <c r="M76" i="10"/>
  <c r="O272" i="10"/>
  <c r="M272" i="10"/>
  <c r="L272" i="10"/>
  <c r="N272" i="10"/>
  <c r="K272" i="10"/>
  <c r="O162" i="10"/>
  <c r="M162" i="10"/>
  <c r="L162" i="10"/>
  <c r="K162" i="10"/>
  <c r="N162" i="10"/>
  <c r="C279" i="18"/>
  <c r="K284" i="9"/>
  <c r="C94" i="18"/>
  <c r="K99" i="9"/>
  <c r="C223" i="18"/>
  <c r="K228" i="9"/>
  <c r="C226" i="18"/>
  <c r="K231" i="9"/>
  <c r="C105" i="18"/>
  <c r="K110" i="9"/>
  <c r="C300" i="18"/>
  <c r="K305" i="9"/>
  <c r="C191" i="18"/>
  <c r="K195" i="9"/>
  <c r="C133" i="18"/>
  <c r="K138" i="9"/>
  <c r="C24" i="18"/>
  <c r="K29" i="9"/>
  <c r="C219" i="18"/>
  <c r="K224" i="9"/>
  <c r="C27" i="18"/>
  <c r="K32" i="9"/>
  <c r="C298" i="18"/>
  <c r="K303" i="9"/>
  <c r="C291" i="18"/>
  <c r="K296" i="9"/>
  <c r="C272" i="18"/>
  <c r="K277" i="9"/>
  <c r="C113" i="18"/>
  <c r="K118" i="9"/>
  <c r="C195" i="18"/>
  <c r="K200" i="9"/>
  <c r="C73" i="18"/>
  <c r="K78" i="9"/>
  <c r="C246" i="18"/>
  <c r="K251" i="9"/>
  <c r="C112" i="18"/>
  <c r="K117" i="9"/>
  <c r="C231" i="18"/>
  <c r="K236" i="9"/>
  <c r="C137" i="18"/>
  <c r="K142" i="9"/>
  <c r="C118" i="18"/>
  <c r="K123" i="9"/>
  <c r="C9" i="18"/>
  <c r="K14" i="9"/>
  <c r="C155" i="18"/>
  <c r="K160" i="9"/>
  <c r="C103" i="18"/>
  <c r="K108" i="9"/>
  <c r="C127" i="18"/>
  <c r="K132" i="9"/>
  <c r="C149" i="18"/>
  <c r="K154" i="9"/>
  <c r="C172" i="18"/>
  <c r="K177" i="9"/>
  <c r="C197" i="18"/>
  <c r="K202" i="9"/>
  <c r="C55" i="18"/>
  <c r="K60" i="9"/>
  <c r="C251" i="18"/>
  <c r="K256" i="9"/>
  <c r="C130" i="18"/>
  <c r="K135" i="9"/>
  <c r="C21" i="18"/>
  <c r="K26" i="9"/>
  <c r="C216" i="18"/>
  <c r="K221" i="9"/>
  <c r="C156" i="18"/>
  <c r="K161" i="9"/>
  <c r="C48" i="18"/>
  <c r="K53" i="9"/>
  <c r="C243" i="18"/>
  <c r="K248" i="9"/>
  <c r="C49" i="18"/>
  <c r="K54" i="9"/>
  <c r="C126" i="18"/>
  <c r="K131" i="9"/>
  <c r="C148" i="18"/>
  <c r="K153" i="9"/>
  <c r="C171" i="18"/>
  <c r="K176" i="9"/>
  <c r="C196" i="18"/>
  <c r="K201" i="9"/>
  <c r="C217" i="18"/>
  <c r="K222" i="9"/>
  <c r="C67" i="18"/>
  <c r="K72" i="9"/>
  <c r="C263" i="18"/>
  <c r="K268" i="9"/>
  <c r="C141" i="18"/>
  <c r="K146" i="9"/>
  <c r="C33" i="18"/>
  <c r="K38" i="9"/>
  <c r="C228" i="18"/>
  <c r="K233" i="9"/>
  <c r="C168" i="18"/>
  <c r="K173" i="9"/>
  <c r="C60" i="18"/>
  <c r="K65" i="9"/>
  <c r="C255" i="18"/>
  <c r="K260" i="9"/>
  <c r="C88" i="18"/>
  <c r="K93" i="9"/>
  <c r="C7" i="18"/>
  <c r="K12" i="9"/>
  <c r="C80" i="18"/>
  <c r="K85" i="9"/>
  <c r="C276" i="18"/>
  <c r="K281" i="9"/>
  <c r="C166" i="18"/>
  <c r="K171" i="9"/>
  <c r="C158" i="18"/>
  <c r="K163" i="9"/>
  <c r="C296" i="18"/>
  <c r="K301" i="9"/>
  <c r="C42" i="18"/>
  <c r="K47" i="9"/>
  <c r="C87" i="18"/>
  <c r="K92" i="9"/>
  <c r="C19" i="18"/>
  <c r="K24" i="9"/>
  <c r="C92" i="18"/>
  <c r="K97" i="9"/>
  <c r="C178" i="18"/>
  <c r="K183" i="9"/>
  <c r="C121" i="18"/>
  <c r="K126" i="9"/>
  <c r="C207" i="18"/>
  <c r="K212" i="9"/>
  <c r="C114" i="18"/>
  <c r="K119" i="9"/>
  <c r="C271" i="18"/>
  <c r="K276" i="9"/>
  <c r="C63" i="18"/>
  <c r="K68" i="9"/>
  <c r="C86" i="18"/>
  <c r="K91" i="9"/>
  <c r="C151" i="18"/>
  <c r="K156" i="9"/>
  <c r="C199" i="18"/>
  <c r="K204" i="9"/>
  <c r="C295" i="18"/>
  <c r="K300" i="9"/>
  <c r="C85" i="18"/>
  <c r="K90" i="9"/>
  <c r="C173" i="18"/>
  <c r="K178" i="9"/>
  <c r="C144" i="18"/>
  <c r="K149" i="9"/>
  <c r="C221" i="18"/>
  <c r="K226" i="9"/>
  <c r="C61" i="18"/>
  <c r="K66" i="9"/>
  <c r="C198" i="18"/>
  <c r="K203" i="9"/>
  <c r="C125" i="18"/>
  <c r="K130" i="9"/>
  <c r="C192" i="18"/>
  <c r="G192" i="18" s="1"/>
  <c r="H192" i="18" s="1"/>
  <c r="AC193" i="22" s="1"/>
  <c r="K196" i="9"/>
  <c r="C79" i="18"/>
  <c r="K84" i="9"/>
  <c r="C153" i="18"/>
  <c r="K158" i="9"/>
  <c r="C45" i="18"/>
  <c r="K50" i="9"/>
  <c r="C240" i="18"/>
  <c r="K245" i="9"/>
  <c r="C180" i="18"/>
  <c r="K185" i="9"/>
  <c r="C72" i="18"/>
  <c r="K77" i="9"/>
  <c r="C268" i="18"/>
  <c r="K273" i="9"/>
  <c r="C252" i="18"/>
  <c r="K257" i="9"/>
  <c r="E88" i="31" s="1"/>
  <c r="C181" i="18"/>
  <c r="K186" i="9"/>
  <c r="C51" i="18"/>
  <c r="K56" i="9"/>
  <c r="C179" i="18"/>
  <c r="K184" i="9"/>
  <c r="C222" i="18"/>
  <c r="K227" i="9"/>
  <c r="C269" i="18"/>
  <c r="K274" i="9"/>
  <c r="C58" i="18"/>
  <c r="K63" i="9"/>
  <c r="C170" i="18"/>
  <c r="K175" i="9"/>
  <c r="C213" i="18"/>
  <c r="K218" i="9"/>
  <c r="C220" i="18"/>
  <c r="K225" i="9"/>
  <c r="C38" i="18"/>
  <c r="K43" i="9"/>
  <c r="C77" i="18"/>
  <c r="K82" i="9"/>
  <c r="C124" i="18"/>
  <c r="K129" i="9"/>
  <c r="C146" i="18"/>
  <c r="K151" i="9"/>
  <c r="C167" i="18"/>
  <c r="K172" i="9"/>
  <c r="C187" i="18"/>
  <c r="K192" i="9"/>
  <c r="C212" i="18"/>
  <c r="K217" i="9"/>
  <c r="C235" i="18"/>
  <c r="K240" i="9"/>
  <c r="C260" i="18"/>
  <c r="K265" i="9"/>
  <c r="C91" i="18"/>
  <c r="K96" i="9"/>
  <c r="C287" i="18"/>
  <c r="K292" i="9"/>
  <c r="C165" i="18"/>
  <c r="K170" i="9"/>
  <c r="C57" i="18"/>
  <c r="K62" i="9"/>
  <c r="C253" i="18"/>
  <c r="K258" i="9"/>
  <c r="C194" i="18"/>
  <c r="K199" i="9"/>
  <c r="C84" i="18"/>
  <c r="K89" i="9"/>
  <c r="C280" i="18"/>
  <c r="K285" i="9"/>
  <c r="C182" i="18"/>
  <c r="K187" i="9"/>
  <c r="C70" i="18"/>
  <c r="K75" i="9"/>
  <c r="C83" i="18"/>
  <c r="K88" i="9"/>
  <c r="C247" i="18"/>
  <c r="K252" i="9"/>
  <c r="C66" i="18"/>
  <c r="K71" i="9"/>
  <c r="C188" i="18"/>
  <c r="K193" i="9"/>
  <c r="C115" i="18"/>
  <c r="K120" i="9"/>
  <c r="C65" i="18"/>
  <c r="K70" i="9"/>
  <c r="C202" i="18"/>
  <c r="K207" i="9"/>
  <c r="C303" i="18"/>
  <c r="K308" i="9"/>
  <c r="C200" i="18"/>
  <c r="K205" i="9"/>
  <c r="C25" i="18"/>
  <c r="K30" i="9"/>
  <c r="C64" i="18"/>
  <c r="K69" i="9"/>
  <c r="C135" i="18"/>
  <c r="K140" i="9"/>
  <c r="C214" i="18"/>
  <c r="K219" i="9"/>
  <c r="C288" i="18"/>
  <c r="K293" i="9"/>
  <c r="C12" i="18"/>
  <c r="K17" i="9"/>
  <c r="C175" i="18"/>
  <c r="K180" i="9"/>
  <c r="C41" i="18"/>
  <c r="K46" i="9"/>
  <c r="C132" i="18"/>
  <c r="K137" i="9"/>
  <c r="C136" i="18"/>
  <c r="K141" i="9"/>
  <c r="C245" i="18"/>
  <c r="K250" i="9"/>
  <c r="C40" i="18"/>
  <c r="K45" i="9"/>
  <c r="C62" i="18"/>
  <c r="K67" i="9"/>
  <c r="C107" i="18"/>
  <c r="K111" i="9"/>
  <c r="C128" i="18"/>
  <c r="K133" i="9"/>
  <c r="C150" i="18"/>
  <c r="K155" i="9"/>
  <c r="C238" i="18"/>
  <c r="K243" i="9"/>
  <c r="C204" i="18"/>
  <c r="K209" i="9"/>
  <c r="C22" i="18"/>
  <c r="K27" i="9"/>
  <c r="C100" i="18"/>
  <c r="K105" i="9"/>
  <c r="C275" i="18"/>
  <c r="K280" i="9"/>
  <c r="C241" i="18"/>
  <c r="K246" i="9"/>
  <c r="C143" i="18"/>
  <c r="K148" i="9"/>
  <c r="C163" i="18"/>
  <c r="K167" i="9"/>
  <c r="C186" i="18"/>
  <c r="K191" i="9"/>
  <c r="C211" i="18"/>
  <c r="K216" i="9"/>
  <c r="C234" i="18"/>
  <c r="K239" i="9"/>
  <c r="C259" i="18"/>
  <c r="K264" i="9"/>
  <c r="C285" i="18"/>
  <c r="K290" i="9"/>
  <c r="C104" i="18"/>
  <c r="K109" i="9"/>
  <c r="C299" i="18"/>
  <c r="K304" i="9"/>
  <c r="C177" i="18"/>
  <c r="K182" i="9"/>
  <c r="C69" i="18"/>
  <c r="K74" i="9"/>
  <c r="C265" i="18"/>
  <c r="K270" i="9"/>
  <c r="C206" i="18"/>
  <c r="K211" i="9"/>
  <c r="C96" i="18"/>
  <c r="K101" i="9"/>
  <c r="C292" i="18"/>
  <c r="K297" i="9"/>
  <c r="C74" i="18"/>
  <c r="K79" i="9"/>
  <c r="C28" i="18"/>
  <c r="K33" i="9"/>
  <c r="C142" i="18"/>
  <c r="K147" i="9"/>
  <c r="C68" i="18"/>
  <c r="K73" i="9"/>
  <c r="C270" i="18"/>
  <c r="K275" i="9"/>
  <c r="C82" i="18"/>
  <c r="K87" i="9"/>
  <c r="C174" i="18"/>
  <c r="K179" i="9"/>
  <c r="C244" i="18"/>
  <c r="K249" i="9"/>
  <c r="C294" i="18"/>
  <c r="K299" i="9"/>
  <c r="C78" i="18"/>
  <c r="K83" i="9"/>
  <c r="C18" i="18"/>
  <c r="K23" i="9"/>
  <c r="C147" i="18"/>
  <c r="K152" i="9"/>
  <c r="C236" i="18"/>
  <c r="K241" i="9"/>
  <c r="C293" i="18"/>
  <c r="K298" i="9"/>
  <c r="C185" i="18"/>
  <c r="K190" i="9"/>
  <c r="C210" i="18"/>
  <c r="K215" i="9"/>
  <c r="C233" i="18"/>
  <c r="K238" i="9"/>
  <c r="C258" i="18"/>
  <c r="K263" i="9"/>
  <c r="C284" i="18"/>
  <c r="K289" i="9"/>
  <c r="C309" i="18"/>
  <c r="K314" i="9"/>
  <c r="C117" i="18"/>
  <c r="K122" i="9"/>
  <c r="C310" i="18"/>
  <c r="K315" i="9"/>
  <c r="C190" i="18"/>
  <c r="K194" i="9"/>
  <c r="C81" i="18"/>
  <c r="K86" i="9"/>
  <c r="C277" i="18"/>
  <c r="K282" i="9"/>
  <c r="C218" i="18"/>
  <c r="K223" i="9"/>
  <c r="C110" i="18"/>
  <c r="K115" i="9"/>
  <c r="C304" i="18"/>
  <c r="K309" i="9"/>
  <c r="C224" i="18"/>
  <c r="K229" i="9"/>
  <c r="C286" i="18"/>
  <c r="K291" i="9"/>
  <c r="C169" i="18"/>
  <c r="K174" i="9"/>
  <c r="C159" i="18"/>
  <c r="K164" i="9"/>
  <c r="C201" i="18"/>
  <c r="K206" i="9"/>
  <c r="C297" i="18"/>
  <c r="K302" i="9"/>
  <c r="C47" i="18"/>
  <c r="K52" i="9"/>
  <c r="C89" i="18"/>
  <c r="K94" i="9"/>
  <c r="C264" i="18"/>
  <c r="K269" i="9"/>
  <c r="I10" i="9"/>
  <c r="J10" i="9"/>
  <c r="C109" i="18"/>
  <c r="K114" i="9"/>
  <c r="C111" i="18"/>
  <c r="K116" i="9"/>
  <c r="C162" i="18"/>
  <c r="K168" i="9"/>
  <c r="C290" i="18"/>
  <c r="K295" i="9"/>
  <c r="C53" i="18"/>
  <c r="K58" i="9"/>
  <c r="C98" i="18"/>
  <c r="K103" i="9"/>
  <c r="C139" i="18"/>
  <c r="K144" i="9"/>
  <c r="C184" i="18"/>
  <c r="K189" i="9"/>
  <c r="C209" i="18"/>
  <c r="K214" i="9"/>
  <c r="C232" i="18"/>
  <c r="K237" i="9"/>
  <c r="C257" i="18"/>
  <c r="K262" i="9"/>
  <c r="C283" i="18"/>
  <c r="K288" i="9"/>
  <c r="C308" i="18"/>
  <c r="K313" i="9"/>
  <c r="C237" i="18"/>
  <c r="K242" i="9"/>
  <c r="C129" i="18"/>
  <c r="K134" i="9"/>
  <c r="C8" i="18"/>
  <c r="K13" i="9"/>
  <c r="C203" i="18"/>
  <c r="K208" i="9"/>
  <c r="C93" i="18"/>
  <c r="K98" i="9"/>
  <c r="C289" i="18"/>
  <c r="K294" i="9"/>
  <c r="C230" i="18"/>
  <c r="K235" i="9"/>
  <c r="C122" i="18"/>
  <c r="K127" i="9"/>
  <c r="C189" i="18"/>
  <c r="K197" i="9"/>
  <c r="C54" i="18"/>
  <c r="K59" i="9"/>
  <c r="C99" i="18"/>
  <c r="K104" i="9"/>
  <c r="C266" i="18"/>
  <c r="K271" i="9"/>
  <c r="C76" i="18"/>
  <c r="K81" i="9"/>
  <c r="C123" i="18"/>
  <c r="K128" i="9"/>
  <c r="C16" i="18"/>
  <c r="K21" i="9"/>
  <c r="C75" i="18"/>
  <c r="K80" i="9"/>
  <c r="C120" i="18"/>
  <c r="K125" i="9"/>
  <c r="C161" i="18"/>
  <c r="K166" i="9"/>
  <c r="C208" i="18"/>
  <c r="K213" i="9"/>
  <c r="C229" i="18"/>
  <c r="K234" i="9"/>
  <c r="C256" i="18"/>
  <c r="K261" i="9"/>
  <c r="C282" i="18"/>
  <c r="K287" i="9"/>
  <c r="C307" i="18"/>
  <c r="K312" i="9"/>
  <c r="C14" i="18"/>
  <c r="K19" i="9"/>
  <c r="C250" i="18"/>
  <c r="K255" i="9"/>
  <c r="C140" i="18"/>
  <c r="K145" i="9"/>
  <c r="C20" i="18"/>
  <c r="K25" i="9"/>
  <c r="C215" i="18"/>
  <c r="K220" i="9"/>
  <c r="C106" i="18"/>
  <c r="K112" i="9"/>
  <c r="C301" i="18"/>
  <c r="K306" i="9"/>
  <c r="C242" i="18"/>
  <c r="K247" i="9"/>
  <c r="C134" i="18"/>
  <c r="K139" i="9"/>
  <c r="C262" i="18"/>
  <c r="K267" i="9"/>
  <c r="C15" i="18"/>
  <c r="K20" i="9"/>
  <c r="C302" i="18"/>
  <c r="K307" i="9"/>
  <c r="C176" i="18"/>
  <c r="K181" i="9"/>
  <c r="C95" i="18"/>
  <c r="K100" i="9"/>
  <c r="C183" i="18"/>
  <c r="K188" i="9"/>
  <c r="C152" i="18"/>
  <c r="K157" i="9"/>
  <c r="C227" i="18"/>
  <c r="K232" i="9"/>
  <c r="C119" i="18"/>
  <c r="K124" i="9"/>
  <c r="C59" i="18"/>
  <c r="K64" i="9"/>
  <c r="C254" i="18"/>
  <c r="K259" i="9"/>
  <c r="C145" i="18"/>
  <c r="K150" i="9"/>
  <c r="C108" i="18"/>
  <c r="K113" i="9"/>
  <c r="C273" i="18"/>
  <c r="K278" i="9"/>
  <c r="C56" i="18"/>
  <c r="K61" i="9"/>
  <c r="C154" i="18"/>
  <c r="K159" i="9"/>
  <c r="C46" i="18"/>
  <c r="K51" i="9"/>
  <c r="C35" i="18"/>
  <c r="K40" i="9"/>
  <c r="C97" i="18"/>
  <c r="K102" i="9"/>
  <c r="C138" i="18"/>
  <c r="K143" i="9"/>
  <c r="C225" i="18"/>
  <c r="K230" i="9"/>
  <c r="C281" i="18"/>
  <c r="K286" i="9"/>
  <c r="C306" i="18"/>
  <c r="G306" i="18" s="1"/>
  <c r="H306" i="18" s="1"/>
  <c r="AC308" i="22" s="1"/>
  <c r="K311" i="9"/>
  <c r="C261" i="18"/>
  <c r="K266" i="9"/>
  <c r="C90" i="18"/>
  <c r="K95" i="9"/>
  <c r="C52" i="18"/>
  <c r="K57" i="9"/>
  <c r="C116" i="18"/>
  <c r="K121" i="9"/>
  <c r="C160" i="18"/>
  <c r="K165" i="9"/>
  <c r="C205" i="18"/>
  <c r="K210" i="9"/>
  <c r="C249" i="18"/>
  <c r="K254" i="9"/>
  <c r="C278" i="18"/>
  <c r="K283" i="9"/>
  <c r="C305" i="18"/>
  <c r="K310" i="9"/>
  <c r="C11" i="18"/>
  <c r="K16" i="9"/>
  <c r="C50" i="18"/>
  <c r="K55" i="9"/>
  <c r="C274" i="18"/>
  <c r="K279" i="9"/>
  <c r="C164" i="18"/>
  <c r="K169" i="9"/>
  <c r="C44" i="18"/>
  <c r="K49" i="9"/>
  <c r="C239" i="18"/>
  <c r="K244" i="9"/>
  <c r="C131" i="18"/>
  <c r="K136" i="9"/>
  <c r="C71" i="18"/>
  <c r="K76" i="9"/>
  <c r="C267" i="18"/>
  <c r="K272" i="9"/>
  <c r="C157" i="18"/>
  <c r="K162" i="9"/>
  <c r="C10" i="9"/>
  <c r="E10" i="9"/>
  <c r="D10" i="9"/>
  <c r="O10" i="9"/>
  <c r="H101" i="18"/>
  <c r="I101" i="18" s="1"/>
  <c r="C193" i="18"/>
  <c r="G193" i="18" s="1"/>
  <c r="O198" i="9"/>
  <c r="J198" i="9"/>
  <c r="I198" i="9"/>
  <c r="E198" i="9"/>
  <c r="D198" i="9"/>
  <c r="C198" i="9"/>
  <c r="C102" i="18"/>
  <c r="J107" i="9"/>
  <c r="O107" i="9"/>
  <c r="C107" i="9"/>
  <c r="E107" i="9"/>
  <c r="I107" i="9"/>
  <c r="D107" i="9"/>
  <c r="C23" i="18"/>
  <c r="C13" i="18"/>
  <c r="C29" i="18"/>
  <c r="C31" i="18"/>
  <c r="C17" i="18"/>
  <c r="C26" i="18"/>
  <c r="C30" i="18"/>
  <c r="C43" i="18"/>
  <c r="C36" i="18"/>
  <c r="C32" i="18"/>
  <c r="C39" i="18"/>
  <c r="C34" i="18"/>
  <c r="C6" i="18"/>
  <c r="C37" i="18"/>
  <c r="C10" i="18"/>
  <c r="E116" i="29"/>
  <c r="D116" i="29"/>
  <c r="C116" i="29"/>
  <c r="E56" i="29"/>
  <c r="D56" i="29"/>
  <c r="C56" i="29"/>
  <c r="E21" i="29"/>
  <c r="D21" i="29"/>
  <c r="C21" i="29"/>
  <c r="E273" i="29"/>
  <c r="D273" i="29"/>
  <c r="C273" i="29"/>
  <c r="E225" i="29"/>
  <c r="C225" i="29"/>
  <c r="D225" i="29"/>
  <c r="E186" i="29"/>
  <c r="D186" i="29"/>
  <c r="C186" i="29"/>
  <c r="D127" i="29"/>
  <c r="C127" i="29"/>
  <c r="E127" i="29"/>
  <c r="E66" i="29"/>
  <c r="D66" i="29"/>
  <c r="C66" i="29"/>
  <c r="E13" i="29"/>
  <c r="D13" i="29"/>
  <c r="C13" i="29"/>
  <c r="E259" i="29"/>
  <c r="D259" i="29"/>
  <c r="C259" i="29"/>
  <c r="D193" i="29"/>
  <c r="C193" i="29"/>
  <c r="E193" i="29"/>
  <c r="E134" i="29"/>
  <c r="D134" i="29"/>
  <c r="C134" i="29"/>
  <c r="E73" i="29"/>
  <c r="D73" i="29"/>
  <c r="C73" i="29"/>
  <c r="E238" i="29"/>
  <c r="D238" i="29"/>
  <c r="C238" i="29"/>
  <c r="E70" i="29"/>
  <c r="D70" i="29"/>
  <c r="C70" i="29"/>
  <c r="E215" i="29"/>
  <c r="D215" i="29"/>
  <c r="C215" i="29"/>
  <c r="E47" i="29"/>
  <c r="D47" i="29"/>
  <c r="C47" i="29"/>
  <c r="E191" i="29"/>
  <c r="D191" i="29"/>
  <c r="C191" i="29"/>
  <c r="E36" i="29"/>
  <c r="D36" i="29"/>
  <c r="C36" i="29"/>
  <c r="E180" i="29"/>
  <c r="D180" i="29"/>
  <c r="C180" i="29"/>
  <c r="E74" i="29"/>
  <c r="D74" i="29"/>
  <c r="C74" i="29"/>
  <c r="E219" i="29"/>
  <c r="C219" i="29"/>
  <c r="D219" i="29"/>
  <c r="E63" i="29"/>
  <c r="D63" i="29"/>
  <c r="C63" i="29"/>
  <c r="E208" i="29"/>
  <c r="D208" i="29"/>
  <c r="C208" i="29"/>
  <c r="D148" i="29"/>
  <c r="C148" i="29"/>
  <c r="E148" i="29"/>
  <c r="E152" i="29"/>
  <c r="D152" i="29"/>
  <c r="C152" i="29"/>
  <c r="E92" i="29"/>
  <c r="D92" i="29"/>
  <c r="C92" i="29"/>
  <c r="E251" i="29"/>
  <c r="D251" i="29"/>
  <c r="C251" i="29"/>
  <c r="E82" i="29"/>
  <c r="D82" i="29"/>
  <c r="C82" i="29"/>
  <c r="E227" i="29"/>
  <c r="D227" i="29"/>
  <c r="C227" i="29"/>
  <c r="E59" i="29"/>
  <c r="D59" i="29"/>
  <c r="C59" i="29"/>
  <c r="E204" i="29"/>
  <c r="C204" i="29"/>
  <c r="D204" i="29"/>
  <c r="E48" i="29"/>
  <c r="D48" i="29"/>
  <c r="C48" i="29"/>
  <c r="E192" i="29"/>
  <c r="D192" i="29"/>
  <c r="C192" i="29"/>
  <c r="E86" i="29"/>
  <c r="D86" i="29"/>
  <c r="C86" i="29"/>
  <c r="E231" i="29"/>
  <c r="D231" i="29"/>
  <c r="C231" i="29"/>
  <c r="E75" i="29"/>
  <c r="D75" i="29"/>
  <c r="C75" i="29"/>
  <c r="E220" i="29"/>
  <c r="D220" i="29"/>
  <c r="C220" i="29"/>
  <c r="E77" i="29"/>
  <c r="D77" i="29"/>
  <c r="C77" i="29"/>
  <c r="C100" i="29"/>
  <c r="E100" i="29"/>
  <c r="D100" i="29"/>
  <c r="E226" i="29"/>
  <c r="D226" i="29"/>
  <c r="C226" i="29"/>
  <c r="E164" i="29"/>
  <c r="D164" i="29"/>
  <c r="C164" i="29"/>
  <c r="E105" i="29"/>
  <c r="D105" i="29"/>
  <c r="C105" i="29"/>
  <c r="E49" i="29"/>
  <c r="D49" i="29"/>
  <c r="C49" i="29"/>
  <c r="C308" i="29"/>
  <c r="E308" i="29"/>
  <c r="D308" i="29"/>
  <c r="E235" i="29"/>
  <c r="D235" i="29"/>
  <c r="C235" i="29"/>
  <c r="E174" i="29"/>
  <c r="C174" i="29"/>
  <c r="D174" i="29"/>
  <c r="D115" i="29"/>
  <c r="C115" i="29"/>
  <c r="E115" i="29"/>
  <c r="E263" i="29"/>
  <c r="D263" i="29"/>
  <c r="C263" i="29"/>
  <c r="C94" i="29"/>
  <c r="E94" i="29"/>
  <c r="D94" i="29"/>
  <c r="E239" i="29"/>
  <c r="D239" i="29"/>
  <c r="C239" i="29"/>
  <c r="E71" i="29"/>
  <c r="D71" i="29"/>
  <c r="C71" i="29"/>
  <c r="E216" i="29"/>
  <c r="C216" i="29"/>
  <c r="D216" i="29"/>
  <c r="E60" i="29"/>
  <c r="D60" i="29"/>
  <c r="C60" i="29"/>
  <c r="E205" i="29"/>
  <c r="D205" i="29"/>
  <c r="C205" i="29"/>
  <c r="E98" i="29"/>
  <c r="D98" i="29"/>
  <c r="C98" i="29"/>
  <c r="E243" i="29"/>
  <c r="D243" i="29"/>
  <c r="C243" i="29"/>
  <c r="E87" i="29"/>
  <c r="D87" i="29"/>
  <c r="C87" i="29"/>
  <c r="E232" i="29"/>
  <c r="D232" i="29"/>
  <c r="C232" i="29"/>
  <c r="C97" i="29"/>
  <c r="E97" i="29"/>
  <c r="D97" i="29"/>
  <c r="E298" i="29"/>
  <c r="D298" i="29"/>
  <c r="C298" i="29"/>
  <c r="E260" i="29"/>
  <c r="D260" i="29"/>
  <c r="C260" i="29"/>
  <c r="E197" i="29"/>
  <c r="D197" i="29"/>
  <c r="C197" i="29"/>
  <c r="E137" i="29"/>
  <c r="D137" i="29"/>
  <c r="C137" i="29"/>
  <c r="E276" i="29"/>
  <c r="D276" i="29"/>
  <c r="C276" i="29"/>
  <c r="C106" i="29"/>
  <c r="E106" i="29"/>
  <c r="D106" i="29"/>
  <c r="E252" i="29"/>
  <c r="D252" i="29"/>
  <c r="C252" i="29"/>
  <c r="E83" i="29"/>
  <c r="D83" i="29"/>
  <c r="C83" i="29"/>
  <c r="E228" i="29"/>
  <c r="D228" i="29"/>
  <c r="C228" i="29"/>
  <c r="E72" i="29"/>
  <c r="D72" i="29"/>
  <c r="C72" i="29"/>
  <c r="E217" i="29"/>
  <c r="D217" i="29"/>
  <c r="C217" i="29"/>
  <c r="E111" i="29"/>
  <c r="D111" i="29"/>
  <c r="C111" i="29"/>
  <c r="E256" i="29"/>
  <c r="D256" i="29"/>
  <c r="C256" i="29"/>
  <c r="E99" i="29"/>
  <c r="D99" i="29"/>
  <c r="C99" i="29"/>
  <c r="E244" i="29"/>
  <c r="D244" i="29"/>
  <c r="C244" i="29"/>
  <c r="E41" i="29"/>
  <c r="D41" i="29"/>
  <c r="C41" i="29"/>
  <c r="E25" i="29"/>
  <c r="D25" i="29"/>
  <c r="C25" i="29"/>
  <c r="C275" i="29"/>
  <c r="E275" i="29"/>
  <c r="D275" i="29"/>
  <c r="E153" i="29"/>
  <c r="D153" i="29"/>
  <c r="C153" i="29"/>
  <c r="E288" i="29"/>
  <c r="D288" i="29"/>
  <c r="C288" i="29"/>
  <c r="E119" i="29"/>
  <c r="D119" i="29"/>
  <c r="C119" i="29"/>
  <c r="E265" i="29"/>
  <c r="D265" i="29"/>
  <c r="C265" i="29"/>
  <c r="E95" i="29"/>
  <c r="D95" i="29"/>
  <c r="C95" i="29"/>
  <c r="E240" i="29"/>
  <c r="D240" i="29"/>
  <c r="C240" i="29"/>
  <c r="E84" i="29"/>
  <c r="D84" i="29"/>
  <c r="C84" i="29"/>
  <c r="E229" i="29"/>
  <c r="D229" i="29"/>
  <c r="C229" i="29"/>
  <c r="E123" i="29"/>
  <c r="D123" i="29"/>
  <c r="C123" i="29"/>
  <c r="C269" i="29"/>
  <c r="E269" i="29"/>
  <c r="D269" i="29"/>
  <c r="D112" i="29"/>
  <c r="C112" i="29"/>
  <c r="E112" i="29"/>
  <c r="E257" i="29"/>
  <c r="D257" i="29"/>
  <c r="C257" i="29"/>
  <c r="E248" i="29"/>
  <c r="D248" i="29"/>
  <c r="C248" i="29"/>
  <c r="E57" i="29"/>
  <c r="D57" i="29"/>
  <c r="C57" i="29"/>
  <c r="E176" i="29"/>
  <c r="D176" i="29"/>
  <c r="C176" i="29"/>
  <c r="E250" i="29"/>
  <c r="D250" i="29"/>
  <c r="C250" i="29"/>
  <c r="E61" i="29"/>
  <c r="D61" i="29"/>
  <c r="C61" i="29"/>
  <c r="E230" i="29"/>
  <c r="D230" i="29"/>
  <c r="C230" i="29"/>
  <c r="E309" i="29"/>
  <c r="D309" i="29"/>
  <c r="C309" i="29"/>
  <c r="D175" i="29"/>
  <c r="C175" i="29"/>
  <c r="E175" i="29"/>
  <c r="E300" i="29"/>
  <c r="D300" i="29"/>
  <c r="C300" i="29"/>
  <c r="E131" i="29"/>
  <c r="D131" i="29"/>
  <c r="C131" i="29"/>
  <c r="E277" i="29"/>
  <c r="D277" i="29"/>
  <c r="C277" i="29"/>
  <c r="E107" i="29"/>
  <c r="D107" i="29"/>
  <c r="C107" i="29"/>
  <c r="E253" i="29"/>
  <c r="D253" i="29"/>
  <c r="C253" i="29"/>
  <c r="D96" i="29"/>
  <c r="C96" i="29"/>
  <c r="E96" i="29"/>
  <c r="E241" i="29"/>
  <c r="D241" i="29"/>
  <c r="C241" i="29"/>
  <c r="E135" i="29"/>
  <c r="D135" i="29"/>
  <c r="C135" i="29"/>
  <c r="C281" i="29"/>
  <c r="E281" i="29"/>
  <c r="D281" i="29"/>
  <c r="D124" i="29"/>
  <c r="C124" i="29"/>
  <c r="E124" i="29"/>
  <c r="E270" i="29"/>
  <c r="D270" i="29"/>
  <c r="C270" i="29"/>
  <c r="E138" i="29"/>
  <c r="C138" i="29"/>
  <c r="D138" i="29"/>
  <c r="E30" i="29"/>
  <c r="D30" i="29"/>
  <c r="C30" i="29"/>
  <c r="E117" i="29"/>
  <c r="D117" i="29"/>
  <c r="C117" i="29"/>
  <c r="E42" i="29"/>
  <c r="D42" i="29"/>
  <c r="C42" i="29"/>
  <c r="E214" i="29"/>
  <c r="D214" i="29"/>
  <c r="C214" i="29"/>
  <c r="E161" i="29"/>
  <c r="D161" i="29"/>
  <c r="C161" i="29"/>
  <c r="E43" i="29"/>
  <c r="D43" i="29"/>
  <c r="C43" i="29"/>
  <c r="D181" i="29"/>
  <c r="C181" i="29"/>
  <c r="E181" i="29"/>
  <c r="E64" i="29"/>
  <c r="D64" i="29"/>
  <c r="C64" i="29"/>
  <c r="E255" i="29"/>
  <c r="D255" i="29"/>
  <c r="C255" i="29"/>
  <c r="E188" i="29"/>
  <c r="D188" i="29"/>
  <c r="C188" i="29"/>
  <c r="E129" i="29"/>
  <c r="D129" i="29"/>
  <c r="C129" i="29"/>
  <c r="E68" i="29"/>
  <c r="D68" i="29"/>
  <c r="C68" i="29"/>
  <c r="E16" i="29"/>
  <c r="D16" i="29"/>
  <c r="C16" i="29"/>
  <c r="E261" i="29"/>
  <c r="D261" i="29"/>
  <c r="C261" i="29"/>
  <c r="E198" i="29"/>
  <c r="C198" i="29"/>
  <c r="D198" i="29"/>
  <c r="D142" i="29"/>
  <c r="C142" i="29"/>
  <c r="E142" i="29"/>
  <c r="E289" i="29"/>
  <c r="D289" i="29"/>
  <c r="C289" i="29"/>
  <c r="C120" i="29"/>
  <c r="E120" i="29"/>
  <c r="D120" i="29"/>
  <c r="C266" i="29"/>
  <c r="E266" i="29"/>
  <c r="D266" i="29"/>
  <c r="C109" i="29"/>
  <c r="E109" i="29"/>
  <c r="D109" i="29"/>
  <c r="E254" i="29"/>
  <c r="D254" i="29"/>
  <c r="C254" i="29"/>
  <c r="E146" i="29"/>
  <c r="D146" i="29"/>
  <c r="C146" i="29"/>
  <c r="C293" i="29"/>
  <c r="E293" i="29"/>
  <c r="D293" i="29"/>
  <c r="D136" i="29"/>
  <c r="C136" i="29"/>
  <c r="E136" i="29"/>
  <c r="E282" i="29"/>
  <c r="D282" i="29"/>
  <c r="C282" i="29"/>
  <c r="E78" i="29"/>
  <c r="D78" i="29"/>
  <c r="C78" i="29"/>
  <c r="C88" i="29"/>
  <c r="E88" i="29"/>
  <c r="D88" i="29"/>
  <c r="D118" i="29"/>
  <c r="C118" i="29"/>
  <c r="E118" i="29"/>
  <c r="E128" i="29"/>
  <c r="D128" i="29"/>
  <c r="C128" i="29"/>
  <c r="D139" i="29"/>
  <c r="C139" i="29"/>
  <c r="E139" i="29"/>
  <c r="E89" i="29"/>
  <c r="D89" i="29"/>
  <c r="C89" i="29"/>
  <c r="E236" i="29"/>
  <c r="D236" i="29"/>
  <c r="C236" i="29"/>
  <c r="E201" i="29"/>
  <c r="C201" i="29"/>
  <c r="D201" i="29"/>
  <c r="E125" i="29"/>
  <c r="D125" i="29"/>
  <c r="C125" i="29"/>
  <c r="E81" i="29"/>
  <c r="D81" i="29"/>
  <c r="C81" i="29"/>
  <c r="E28" i="29"/>
  <c r="D28" i="29"/>
  <c r="C28" i="29"/>
  <c r="E280" i="29"/>
  <c r="D280" i="29"/>
  <c r="C280" i="29"/>
  <c r="E211" i="29"/>
  <c r="D211" i="29"/>
  <c r="C211" i="29"/>
  <c r="E150" i="29"/>
  <c r="D150" i="29"/>
  <c r="C150" i="29"/>
  <c r="E90" i="29"/>
  <c r="D90" i="29"/>
  <c r="C90" i="29"/>
  <c r="E32" i="29"/>
  <c r="D32" i="29"/>
  <c r="C32" i="29"/>
  <c r="E286" i="29"/>
  <c r="D286" i="29"/>
  <c r="C286" i="29"/>
  <c r="E218" i="29"/>
  <c r="D218" i="29"/>
  <c r="C218" i="29"/>
  <c r="E10" i="29"/>
  <c r="D10" i="29"/>
  <c r="C10" i="29"/>
  <c r="D154" i="29"/>
  <c r="C154" i="29"/>
  <c r="E154" i="29"/>
  <c r="E301" i="29"/>
  <c r="D301" i="29"/>
  <c r="C301" i="29"/>
  <c r="C132" i="29"/>
  <c r="E132" i="29"/>
  <c r="D132" i="29"/>
  <c r="C278" i="29"/>
  <c r="E278" i="29"/>
  <c r="D278" i="29"/>
  <c r="D121" i="29"/>
  <c r="C121" i="29"/>
  <c r="E121" i="29"/>
  <c r="E267" i="29"/>
  <c r="D267" i="29"/>
  <c r="C267" i="29"/>
  <c r="E158" i="29"/>
  <c r="D158" i="29"/>
  <c r="C158" i="29"/>
  <c r="C305" i="29"/>
  <c r="E305" i="29"/>
  <c r="D305" i="29"/>
  <c r="E147" i="29"/>
  <c r="D147" i="29"/>
  <c r="C147" i="29"/>
  <c r="E294" i="29"/>
  <c r="D294" i="29"/>
  <c r="C294" i="29"/>
  <c r="E209" i="29"/>
  <c r="D209" i="29"/>
  <c r="C209" i="29"/>
  <c r="D160" i="29"/>
  <c r="C160" i="29"/>
  <c r="E160" i="29"/>
  <c r="E14" i="29"/>
  <c r="D14" i="29"/>
  <c r="C14" i="29"/>
  <c r="E26" i="29"/>
  <c r="D26" i="29"/>
  <c r="C26" i="29"/>
  <c r="E31" i="29"/>
  <c r="D31" i="29"/>
  <c r="C31" i="29"/>
  <c r="E122" i="29"/>
  <c r="D122" i="29"/>
  <c r="C122" i="29"/>
  <c r="E50" i="29"/>
  <c r="D50" i="29"/>
  <c r="C50" i="29"/>
  <c r="E242" i="29"/>
  <c r="D242" i="29"/>
  <c r="C242" i="29"/>
  <c r="E93" i="29"/>
  <c r="D93" i="29"/>
  <c r="C93" i="29"/>
  <c r="E271" i="29"/>
  <c r="D271" i="29"/>
  <c r="C271" i="29"/>
  <c r="D184" i="29"/>
  <c r="C184" i="29"/>
  <c r="E184" i="29"/>
  <c r="E141" i="29"/>
  <c r="D141" i="29"/>
  <c r="C141" i="29"/>
  <c r="C103" i="29"/>
  <c r="E103" i="29"/>
  <c r="D103" i="29"/>
  <c r="E44" i="29"/>
  <c r="D44" i="29"/>
  <c r="C44" i="29"/>
  <c r="E304" i="29"/>
  <c r="D304" i="29"/>
  <c r="C304" i="29"/>
  <c r="E233" i="29"/>
  <c r="D233" i="29"/>
  <c r="C233" i="29"/>
  <c r="D172" i="29"/>
  <c r="C172" i="29"/>
  <c r="E172" i="29"/>
  <c r="E113" i="29"/>
  <c r="D113" i="29"/>
  <c r="C113" i="29"/>
  <c r="E52" i="29"/>
  <c r="D52" i="29"/>
  <c r="C52" i="29"/>
  <c r="E310" i="29"/>
  <c r="D310" i="29"/>
  <c r="C310" i="29"/>
  <c r="E237" i="29"/>
  <c r="D237" i="29"/>
  <c r="C237" i="29"/>
  <c r="E22" i="29"/>
  <c r="D22" i="29"/>
  <c r="C22" i="29"/>
  <c r="D166" i="29"/>
  <c r="C166" i="29"/>
  <c r="E166" i="29"/>
  <c r="E143" i="29"/>
  <c r="D143" i="29"/>
  <c r="C143" i="29"/>
  <c r="C290" i="29"/>
  <c r="E290" i="29"/>
  <c r="D290" i="29"/>
  <c r="D133" i="29"/>
  <c r="C133" i="29"/>
  <c r="E133" i="29"/>
  <c r="E279" i="29"/>
  <c r="D279" i="29"/>
  <c r="C279" i="29"/>
  <c r="E170" i="29"/>
  <c r="D170" i="29"/>
  <c r="C170" i="29"/>
  <c r="C15" i="29"/>
  <c r="E15" i="29"/>
  <c r="D15" i="29"/>
  <c r="E159" i="29"/>
  <c r="D159" i="29"/>
  <c r="C159" i="29"/>
  <c r="E306" i="29"/>
  <c r="D306" i="29"/>
  <c r="C306" i="29"/>
  <c r="E213" i="29"/>
  <c r="C213" i="29"/>
  <c r="D213" i="29"/>
  <c r="E67" i="29"/>
  <c r="D67" i="29"/>
  <c r="C67" i="29"/>
  <c r="E101" i="29"/>
  <c r="D101" i="29"/>
  <c r="C101" i="29"/>
  <c r="E149" i="29"/>
  <c r="D149" i="29"/>
  <c r="C149" i="29"/>
  <c r="E80" i="29"/>
  <c r="D80" i="29"/>
  <c r="C80" i="29"/>
  <c r="E108" i="29"/>
  <c r="D108" i="29"/>
  <c r="C108" i="29"/>
  <c r="E222" i="29"/>
  <c r="C222" i="29"/>
  <c r="D222" i="29"/>
  <c r="E245" i="29"/>
  <c r="D245" i="29"/>
  <c r="C245" i="29"/>
  <c r="E19" i="29"/>
  <c r="D19" i="29"/>
  <c r="C19" i="29"/>
  <c r="C126" i="29"/>
  <c r="E126" i="29"/>
  <c r="D126" i="29"/>
  <c r="E258" i="29"/>
  <c r="D258" i="29"/>
  <c r="C258" i="29"/>
  <c r="D130" i="29"/>
  <c r="C130" i="29"/>
  <c r="E130" i="29"/>
  <c r="E69" i="29"/>
  <c r="D69" i="29"/>
  <c r="C69" i="29"/>
  <c r="E17" i="29"/>
  <c r="D17" i="29"/>
  <c r="C17" i="29"/>
  <c r="E34" i="29"/>
  <c r="D34" i="29"/>
  <c r="C34" i="29"/>
  <c r="D178" i="29"/>
  <c r="C178" i="29"/>
  <c r="E178" i="29"/>
  <c r="E11" i="29"/>
  <c r="D11" i="29"/>
  <c r="C11" i="29"/>
  <c r="E155" i="29"/>
  <c r="D155" i="29"/>
  <c r="C155" i="29"/>
  <c r="C302" i="29"/>
  <c r="E302" i="29"/>
  <c r="D302" i="29"/>
  <c r="E144" i="29"/>
  <c r="D144" i="29"/>
  <c r="C144" i="29"/>
  <c r="E291" i="29"/>
  <c r="D291" i="29"/>
  <c r="C291" i="29"/>
  <c r="E182" i="29"/>
  <c r="D182" i="29"/>
  <c r="C182" i="29"/>
  <c r="E27" i="29"/>
  <c r="D27" i="29"/>
  <c r="C27" i="29"/>
  <c r="E171" i="29"/>
  <c r="D171" i="29"/>
  <c r="C171" i="29"/>
  <c r="E194" i="29"/>
  <c r="D194" i="29"/>
  <c r="C194" i="29"/>
  <c r="E297" i="29"/>
  <c r="D297" i="29"/>
  <c r="C297" i="29"/>
  <c r="E274" i="29"/>
  <c r="D274" i="29"/>
  <c r="C274" i="29"/>
  <c r="E199" i="29"/>
  <c r="D199" i="29"/>
  <c r="C199" i="29"/>
  <c r="E285" i="29"/>
  <c r="D285" i="29"/>
  <c r="C285" i="29"/>
  <c r="E200" i="29"/>
  <c r="D200" i="29"/>
  <c r="C200" i="29"/>
  <c r="C299" i="29"/>
  <c r="E299" i="29"/>
  <c r="D299" i="29"/>
  <c r="E102" i="29"/>
  <c r="D102" i="29"/>
  <c r="C102" i="29"/>
  <c r="E268" i="29"/>
  <c r="D268" i="29"/>
  <c r="C268" i="29"/>
  <c r="E18" i="29"/>
  <c r="D18" i="29"/>
  <c r="C18" i="29"/>
  <c r="E223" i="29"/>
  <c r="D223" i="29"/>
  <c r="C223" i="29"/>
  <c r="E37" i="29"/>
  <c r="D37" i="29"/>
  <c r="C37" i="29"/>
  <c r="E295" i="29"/>
  <c r="D295" i="29"/>
  <c r="C295" i="29"/>
  <c r="E202" i="29"/>
  <c r="D202" i="29"/>
  <c r="C202" i="29"/>
  <c r="D163" i="29"/>
  <c r="C163" i="29"/>
  <c r="E163" i="29"/>
  <c r="E65" i="29"/>
  <c r="D65" i="29"/>
  <c r="C65" i="29"/>
  <c r="E189" i="29"/>
  <c r="D189" i="29"/>
  <c r="C189" i="29"/>
  <c r="E54" i="29"/>
  <c r="D54" i="29"/>
  <c r="C54" i="29"/>
  <c r="E212" i="29"/>
  <c r="D212" i="29"/>
  <c r="C212" i="29"/>
  <c r="E12" i="29"/>
  <c r="D12" i="29"/>
  <c r="C12" i="29"/>
  <c r="E195" i="29"/>
  <c r="C195" i="29"/>
  <c r="D195" i="29"/>
  <c r="E183" i="29"/>
  <c r="D183" i="29"/>
  <c r="C183" i="29"/>
  <c r="E267" i="9"/>
  <c r="E264" i="29"/>
  <c r="D264" i="29"/>
  <c r="C264" i="29"/>
  <c r="D264" i="3"/>
  <c r="C267" i="9"/>
  <c r="C264" i="3"/>
  <c r="D267" i="9"/>
  <c r="I267" i="9"/>
  <c r="O267" i="9"/>
  <c r="E264" i="3"/>
  <c r="J267" i="9"/>
  <c r="C284" i="29"/>
  <c r="E284" i="29"/>
  <c r="D284" i="29"/>
  <c r="D157" i="29"/>
  <c r="C157" i="29"/>
  <c r="E157" i="29"/>
  <c r="E79" i="29"/>
  <c r="D79" i="29"/>
  <c r="C79" i="29"/>
  <c r="D187" i="29"/>
  <c r="C187" i="29"/>
  <c r="E187" i="29"/>
  <c r="E177" i="29"/>
  <c r="D177" i="29"/>
  <c r="C177" i="29"/>
  <c r="E210" i="29"/>
  <c r="C210" i="29"/>
  <c r="D210" i="29"/>
  <c r="E221" i="29"/>
  <c r="D221" i="29"/>
  <c r="C221" i="29"/>
  <c r="D169" i="29"/>
  <c r="C169" i="29"/>
  <c r="E169" i="29"/>
  <c r="E140" i="29"/>
  <c r="D140" i="29"/>
  <c r="C140" i="29"/>
  <c r="E162" i="29"/>
  <c r="D162" i="29"/>
  <c r="C162" i="29"/>
  <c r="E292" i="29"/>
  <c r="D292" i="29"/>
  <c r="C292" i="29"/>
  <c r="E246" i="29"/>
  <c r="D246" i="29"/>
  <c r="C246" i="29"/>
  <c r="E9" i="29"/>
  <c r="D9" i="29"/>
  <c r="C9" i="29"/>
  <c r="E262" i="29"/>
  <c r="D262" i="29"/>
  <c r="C262" i="29"/>
  <c r="E38" i="29"/>
  <c r="D38" i="29"/>
  <c r="C38" i="29"/>
  <c r="E20" i="29"/>
  <c r="D20" i="29"/>
  <c r="C20" i="29"/>
  <c r="C272" i="29"/>
  <c r="E272" i="29"/>
  <c r="D272" i="29"/>
  <c r="E224" i="29"/>
  <c r="D224" i="29"/>
  <c r="C224" i="29"/>
  <c r="E185" i="29"/>
  <c r="D185" i="29"/>
  <c r="C185" i="29"/>
  <c r="D145" i="29"/>
  <c r="C145" i="29"/>
  <c r="E145" i="29"/>
  <c r="E85" i="29"/>
  <c r="D85" i="29"/>
  <c r="C85" i="29"/>
  <c r="E29" i="29"/>
  <c r="D29" i="29"/>
  <c r="C29" i="29"/>
  <c r="E283" i="29"/>
  <c r="D283" i="29"/>
  <c r="C283" i="29"/>
  <c r="D151" i="29"/>
  <c r="C151" i="29"/>
  <c r="E151" i="29"/>
  <c r="C91" i="29"/>
  <c r="E91" i="29"/>
  <c r="D91" i="29"/>
  <c r="E33" i="29"/>
  <c r="D33" i="29"/>
  <c r="C33" i="29"/>
  <c r="C287" i="29"/>
  <c r="E287" i="29"/>
  <c r="D287" i="29"/>
  <c r="E46" i="29"/>
  <c r="D46" i="29"/>
  <c r="C46" i="29"/>
  <c r="D190" i="29"/>
  <c r="C190" i="29"/>
  <c r="E190" i="29"/>
  <c r="E23" i="29"/>
  <c r="D23" i="29"/>
  <c r="C23" i="29"/>
  <c r="E167" i="29"/>
  <c r="D167" i="29"/>
  <c r="C167" i="29"/>
  <c r="E156" i="29"/>
  <c r="D156" i="29"/>
  <c r="C156" i="29"/>
  <c r="E303" i="29"/>
  <c r="D303" i="29"/>
  <c r="C303" i="29"/>
  <c r="E39" i="29"/>
  <c r="D39" i="29"/>
  <c r="C39" i="29"/>
  <c r="E76" i="29"/>
  <c r="D76" i="29"/>
  <c r="C76" i="29"/>
  <c r="E55" i="29"/>
  <c r="D55" i="29"/>
  <c r="C55" i="29"/>
  <c r="E40" i="29"/>
  <c r="D40" i="29"/>
  <c r="C40" i="29"/>
  <c r="C296" i="29"/>
  <c r="E296" i="29"/>
  <c r="D296" i="29"/>
  <c r="E247" i="29"/>
  <c r="D247" i="29"/>
  <c r="C247" i="29"/>
  <c r="E206" i="29"/>
  <c r="D206" i="29"/>
  <c r="C206" i="29"/>
  <c r="E165" i="29"/>
  <c r="D165" i="29"/>
  <c r="C165" i="29"/>
  <c r="E104" i="29"/>
  <c r="D104" i="29"/>
  <c r="C104" i="29"/>
  <c r="E45" i="29"/>
  <c r="D45" i="29"/>
  <c r="C45" i="29"/>
  <c r="E307" i="29"/>
  <c r="D307" i="29"/>
  <c r="C307" i="29"/>
  <c r="E234" i="29"/>
  <c r="D234" i="29"/>
  <c r="C234" i="29"/>
  <c r="E173" i="29"/>
  <c r="D173" i="29"/>
  <c r="C173" i="29"/>
  <c r="C114" i="29"/>
  <c r="E114" i="29"/>
  <c r="D114" i="29"/>
  <c r="E53" i="29"/>
  <c r="D53" i="29"/>
  <c r="C53" i="29"/>
  <c r="C311" i="29"/>
  <c r="E311" i="29"/>
  <c r="D311" i="29"/>
  <c r="E58" i="29"/>
  <c r="D58" i="29"/>
  <c r="C58" i="29"/>
  <c r="E203" i="29"/>
  <c r="D203" i="29"/>
  <c r="C203" i="29"/>
  <c r="E35" i="29"/>
  <c r="D35" i="29"/>
  <c r="C35" i="29"/>
  <c r="E179" i="29"/>
  <c r="D179" i="29"/>
  <c r="C179" i="29"/>
  <c r="E24" i="29"/>
  <c r="D24" i="29"/>
  <c r="C24" i="29"/>
  <c r="E168" i="29"/>
  <c r="D168" i="29"/>
  <c r="C168" i="29"/>
  <c r="E62" i="29"/>
  <c r="D62" i="29"/>
  <c r="C62" i="29"/>
  <c r="E207" i="29"/>
  <c r="C207" i="29"/>
  <c r="D207" i="29"/>
  <c r="E51" i="29"/>
  <c r="D51" i="29"/>
  <c r="C51" i="29"/>
  <c r="E196" i="29"/>
  <c r="D196" i="29"/>
  <c r="C196" i="29"/>
  <c r="E110" i="29"/>
  <c r="D110" i="3"/>
  <c r="D110" i="29"/>
  <c r="C110" i="3"/>
  <c r="C110" i="29"/>
  <c r="E110" i="3"/>
  <c r="O113" i="9"/>
  <c r="J113" i="9"/>
  <c r="I113" i="9"/>
  <c r="E113" i="9"/>
  <c r="D113" i="9"/>
  <c r="C113" i="9"/>
  <c r="L12" i="10"/>
  <c r="N12" i="10"/>
  <c r="O12" i="10"/>
  <c r="M12" i="10"/>
  <c r="K12" i="10"/>
  <c r="C5" i="18"/>
  <c r="G5" i="18" s="1"/>
  <c r="H5" i="18" s="1"/>
  <c r="AC8" i="22" s="1"/>
  <c r="C194" i="3"/>
  <c r="D194" i="3"/>
  <c r="E194" i="3"/>
  <c r="C197" i="9"/>
  <c r="D197" i="9"/>
  <c r="E197" i="9"/>
  <c r="I197" i="9"/>
  <c r="O197" i="9"/>
  <c r="J197" i="9"/>
  <c r="E56" i="9"/>
  <c r="E40" i="9"/>
  <c r="E298" i="9"/>
  <c r="E250" i="9"/>
  <c r="E166" i="9"/>
  <c r="E67" i="9"/>
  <c r="E11" i="9"/>
  <c r="I11" i="9"/>
  <c r="E192" i="9"/>
  <c r="E133" i="9"/>
  <c r="E19" i="9"/>
  <c r="E36" i="9"/>
  <c r="E13" i="9"/>
  <c r="E305" i="9"/>
  <c r="E294" i="9"/>
  <c r="E174" i="9"/>
  <c r="E78" i="9"/>
  <c r="E22" i="9"/>
  <c r="C22" i="9"/>
  <c r="E228" i="9"/>
  <c r="E87" i="9"/>
  <c r="E286" i="9"/>
  <c r="E93" i="9"/>
  <c r="E290" i="9"/>
  <c r="E25" i="9"/>
  <c r="E14" i="9"/>
  <c r="E306" i="9"/>
  <c r="E186" i="9"/>
  <c r="E79" i="9"/>
  <c r="E299" i="9"/>
  <c r="E210" i="9"/>
  <c r="E47" i="9"/>
  <c r="E176" i="9"/>
  <c r="E314" i="9"/>
  <c r="E37" i="9"/>
  <c r="E26" i="9"/>
  <c r="E64" i="9"/>
  <c r="E200" i="9"/>
  <c r="E99" i="9"/>
  <c r="E23" i="9"/>
  <c r="E229" i="9"/>
  <c r="E68" i="9"/>
  <c r="E262" i="9"/>
  <c r="E75" i="9"/>
  <c r="E72" i="9"/>
  <c r="E38" i="9"/>
  <c r="E212" i="9"/>
  <c r="E120" i="9"/>
  <c r="E43" i="9"/>
  <c r="E213" i="9"/>
  <c r="E90" i="9"/>
  <c r="E32" i="9"/>
  <c r="E217" i="9"/>
  <c r="E155" i="9"/>
  <c r="E84" i="9"/>
  <c r="E231" i="9"/>
  <c r="E61" i="9"/>
  <c r="E50" i="9"/>
  <c r="E195" i="9"/>
  <c r="E88" i="9"/>
  <c r="E77" i="9"/>
  <c r="E102" i="9"/>
  <c r="E230" i="9"/>
  <c r="E311" i="9"/>
  <c r="E266" i="9"/>
  <c r="E62" i="9"/>
  <c r="E236" i="9"/>
  <c r="E163" i="9"/>
  <c r="E121" i="9"/>
  <c r="E44" i="9"/>
  <c r="E254" i="9"/>
  <c r="E190" i="9"/>
  <c r="E69" i="9"/>
  <c r="E16" i="9"/>
  <c r="E263" i="9"/>
  <c r="E201" i="9"/>
  <c r="E140" i="9"/>
  <c r="E279" i="9"/>
  <c r="E109" i="9"/>
  <c r="E256" i="9"/>
  <c r="E85" i="9"/>
  <c r="E232" i="9"/>
  <c r="E74" i="9"/>
  <c r="C217" i="3"/>
  <c r="D217" i="3"/>
  <c r="E217" i="3"/>
  <c r="E221" i="9"/>
  <c r="E114" i="9"/>
  <c r="E259" i="9"/>
  <c r="E101" i="9"/>
  <c r="E248" i="9"/>
  <c r="E225" i="9"/>
  <c r="E180" i="9"/>
  <c r="E142" i="9"/>
  <c r="E103" i="9"/>
  <c r="E63" i="9"/>
  <c r="E28" i="9"/>
  <c r="E278" i="9"/>
  <c r="E214" i="9"/>
  <c r="E152" i="9"/>
  <c r="E91" i="9"/>
  <c r="E33" i="9"/>
  <c r="E288" i="9"/>
  <c r="E218" i="9"/>
  <c r="E156" i="9"/>
  <c r="E291" i="9"/>
  <c r="E122" i="9"/>
  <c r="E268" i="9"/>
  <c r="E97" i="9"/>
  <c r="E244" i="9"/>
  <c r="E86" i="9"/>
  <c r="C233" i="9"/>
  <c r="E233" i="9"/>
  <c r="E126" i="9"/>
  <c r="E272" i="9"/>
  <c r="E115" i="9"/>
  <c r="E260" i="9"/>
  <c r="E129" i="9"/>
  <c r="E71" i="9"/>
  <c r="E181" i="9"/>
  <c r="E185" i="9"/>
  <c r="E148" i="9"/>
  <c r="E216" i="9"/>
  <c r="E193" i="9"/>
  <c r="E199" i="9"/>
  <c r="E168" i="9"/>
  <c r="E60" i="9"/>
  <c r="E211" i="9"/>
  <c r="E141" i="9"/>
  <c r="E189" i="9"/>
  <c r="E196" i="9"/>
  <c r="E49" i="9"/>
  <c r="E223" i="9"/>
  <c r="E252" i="9"/>
  <c r="E255" i="9"/>
  <c r="E235" i="9"/>
  <c r="E277" i="9"/>
  <c r="E239" i="9"/>
  <c r="E73" i="9"/>
  <c r="E247" i="9"/>
  <c r="E203" i="9"/>
  <c r="E301" i="9"/>
  <c r="E164" i="9"/>
  <c r="E127" i="9"/>
  <c r="E92" i="9"/>
  <c r="E297" i="9"/>
  <c r="E206" i="9"/>
  <c r="E261" i="9"/>
  <c r="E265" i="9"/>
  <c r="E158" i="9"/>
  <c r="E147" i="9"/>
  <c r="E29" i="9"/>
  <c r="E57" i="9"/>
  <c r="E275" i="9"/>
  <c r="E188" i="9"/>
  <c r="E31" i="9"/>
  <c r="E154" i="9"/>
  <c r="E35" i="9"/>
  <c r="E48" i="9"/>
  <c r="E170" i="9"/>
  <c r="C156" i="3"/>
  <c r="D156" i="3"/>
  <c r="E156" i="3"/>
  <c r="E159" i="9"/>
  <c r="E41" i="9"/>
  <c r="E119" i="9"/>
  <c r="E42" i="9"/>
  <c r="E251" i="9"/>
  <c r="E310" i="9"/>
  <c r="D310" i="9"/>
  <c r="E238" i="9"/>
  <c r="E117" i="9"/>
  <c r="E55" i="9"/>
  <c r="E207" i="9"/>
  <c r="E182" i="9"/>
  <c r="E171" i="9"/>
  <c r="E53" i="9"/>
  <c r="E58" i="9"/>
  <c r="D273" i="3"/>
  <c r="E273" i="3"/>
  <c r="C273" i="3"/>
  <c r="E276" i="9"/>
  <c r="E130" i="9"/>
  <c r="E15" i="9"/>
  <c r="E137" i="9"/>
  <c r="E242" i="9"/>
  <c r="E219" i="9"/>
  <c r="E194" i="9"/>
  <c r="E183" i="9"/>
  <c r="E76" i="9"/>
  <c r="E65" i="9"/>
  <c r="E160" i="9"/>
  <c r="E80" i="9"/>
  <c r="E300" i="9"/>
  <c r="E151" i="9"/>
  <c r="E287" i="9"/>
  <c r="E94" i="9"/>
  <c r="E208" i="9"/>
  <c r="E224" i="9"/>
  <c r="E179" i="9"/>
  <c r="E59" i="9"/>
  <c r="E27" i="9"/>
  <c r="E167" i="9"/>
  <c r="E108" i="9"/>
  <c r="E51" i="9"/>
  <c r="E177" i="9"/>
  <c r="E118" i="9"/>
  <c r="E96" i="9"/>
  <c r="E243" i="9"/>
  <c r="E220" i="9"/>
  <c r="E209" i="9"/>
  <c r="E100" i="9"/>
  <c r="E89" i="9"/>
  <c r="E81" i="9"/>
  <c r="E131" i="9"/>
  <c r="E246" i="9"/>
  <c r="E204" i="9"/>
  <c r="E125" i="9"/>
  <c r="E82" i="9"/>
  <c r="E45" i="9"/>
  <c r="E302" i="9"/>
  <c r="E234" i="9"/>
  <c r="E172" i="9"/>
  <c r="E111" i="9"/>
  <c r="E52" i="9"/>
  <c r="E312" i="9"/>
  <c r="E240" i="9"/>
  <c r="E178" i="9"/>
  <c r="E303" i="9"/>
  <c r="E134" i="9"/>
  <c r="E280" i="9"/>
  <c r="E110" i="9"/>
  <c r="E257" i="9"/>
  <c r="E70" i="31" s="1"/>
  <c r="E98" i="9"/>
  <c r="E245" i="9"/>
  <c r="E138" i="9"/>
  <c r="E284" i="9"/>
  <c r="E273" i="9"/>
  <c r="E95" i="9"/>
  <c r="E271" i="9"/>
  <c r="E226" i="9"/>
  <c r="E184" i="9"/>
  <c r="E143" i="9"/>
  <c r="E104" i="9"/>
  <c r="E66" i="9"/>
  <c r="D316" i="8"/>
  <c r="E191" i="9"/>
  <c r="E132" i="9"/>
  <c r="E70" i="9"/>
  <c r="E18" i="9"/>
  <c r="E264" i="9"/>
  <c r="E202" i="9"/>
  <c r="E145" i="9"/>
  <c r="E292" i="9"/>
  <c r="E123" i="9"/>
  <c r="E269" i="9"/>
  <c r="E109" i="3"/>
  <c r="C109" i="3"/>
  <c r="E112" i="9"/>
  <c r="D109" i="3"/>
  <c r="C112" i="9"/>
  <c r="E258" i="9"/>
  <c r="E149" i="9"/>
  <c r="E296" i="9"/>
  <c r="E139" i="9"/>
  <c r="E285" i="9"/>
  <c r="E20" i="9"/>
  <c r="E295" i="9"/>
  <c r="E249" i="9"/>
  <c r="E205" i="9"/>
  <c r="E165" i="9"/>
  <c r="E128" i="9"/>
  <c r="E83" i="9"/>
  <c r="E30" i="9"/>
  <c r="E283" i="9"/>
  <c r="E215" i="9"/>
  <c r="E153" i="9"/>
  <c r="E34" i="9"/>
  <c r="E289" i="9"/>
  <c r="E222" i="9"/>
  <c r="E12" i="9"/>
  <c r="E157" i="9"/>
  <c r="E304" i="9"/>
  <c r="E135" i="9"/>
  <c r="E281" i="9"/>
  <c r="E124" i="9"/>
  <c r="E270" i="9"/>
  <c r="E161" i="9"/>
  <c r="E308" i="9"/>
  <c r="E150" i="9"/>
  <c r="E39" i="9"/>
  <c r="E21" i="9"/>
  <c r="C21" i="9"/>
  <c r="E274" i="9"/>
  <c r="E227" i="9"/>
  <c r="E187" i="9"/>
  <c r="E144" i="9"/>
  <c r="E105" i="9"/>
  <c r="E46" i="9"/>
  <c r="E307" i="9"/>
  <c r="E237" i="9"/>
  <c r="E175" i="9"/>
  <c r="E116" i="9"/>
  <c r="E54" i="9"/>
  <c r="E313" i="9"/>
  <c r="E241" i="9"/>
  <c r="E24" i="9"/>
  <c r="E169" i="9"/>
  <c r="C315" i="9"/>
  <c r="E315" i="9"/>
  <c r="O315" i="9"/>
  <c r="J315" i="9"/>
  <c r="I315" i="9"/>
  <c r="D315" i="9"/>
  <c r="E146" i="9"/>
  <c r="E293" i="9"/>
  <c r="E136" i="9"/>
  <c r="E282" i="9"/>
  <c r="E173" i="9"/>
  <c r="E17" i="9"/>
  <c r="E162" i="9"/>
  <c r="E309" i="9"/>
  <c r="N327" i="9"/>
  <c r="H327" i="9"/>
  <c r="P6" i="13"/>
  <c r="E310" i="3"/>
  <c r="D310" i="3"/>
  <c r="C310" i="3"/>
  <c r="E309" i="3"/>
  <c r="D309" i="3"/>
  <c r="C309" i="3"/>
  <c r="E308" i="3"/>
  <c r="D308" i="3"/>
  <c r="C308" i="3"/>
  <c r="E307" i="3"/>
  <c r="D307" i="3"/>
  <c r="C307" i="3"/>
  <c r="E306" i="3"/>
  <c r="D306" i="3"/>
  <c r="C306" i="3"/>
  <c r="E305" i="3"/>
  <c r="D305" i="3"/>
  <c r="C305" i="3"/>
  <c r="E304" i="3"/>
  <c r="D304" i="3"/>
  <c r="C304" i="3"/>
  <c r="E303" i="3"/>
  <c r="D303" i="3"/>
  <c r="C303" i="3"/>
  <c r="E302" i="3"/>
  <c r="D302" i="3"/>
  <c r="C302" i="3"/>
  <c r="E301" i="3"/>
  <c r="D301" i="3"/>
  <c r="C301" i="3"/>
  <c r="E300" i="3"/>
  <c r="D300" i="3"/>
  <c r="C300" i="3"/>
  <c r="E299" i="3"/>
  <c r="D299" i="3"/>
  <c r="C299" i="3"/>
  <c r="E298" i="3"/>
  <c r="D298" i="3"/>
  <c r="C298" i="3"/>
  <c r="E297" i="3"/>
  <c r="D297" i="3"/>
  <c r="C297" i="3"/>
  <c r="E296" i="3"/>
  <c r="D296" i="3"/>
  <c r="C296" i="3"/>
  <c r="E295" i="3"/>
  <c r="D295" i="3"/>
  <c r="C295" i="3"/>
  <c r="E294" i="3"/>
  <c r="D294" i="3"/>
  <c r="C294" i="3"/>
  <c r="E293" i="3"/>
  <c r="D293" i="3"/>
  <c r="C293" i="3"/>
  <c r="E292" i="3"/>
  <c r="D292" i="3"/>
  <c r="C292" i="3"/>
  <c r="E291" i="3"/>
  <c r="D291" i="3"/>
  <c r="C291" i="3"/>
  <c r="E290" i="3"/>
  <c r="D290" i="3"/>
  <c r="C290" i="3"/>
  <c r="E289" i="3"/>
  <c r="D289" i="3"/>
  <c r="C289" i="3"/>
  <c r="E288" i="3"/>
  <c r="D288" i="3"/>
  <c r="C288" i="3"/>
  <c r="E287" i="3"/>
  <c r="D287" i="3"/>
  <c r="C287" i="3"/>
  <c r="E286" i="3"/>
  <c r="D286" i="3"/>
  <c r="C286" i="3"/>
  <c r="E285" i="3"/>
  <c r="D285" i="3"/>
  <c r="C285" i="3"/>
  <c r="E284" i="3"/>
  <c r="D284" i="3"/>
  <c r="C284" i="3"/>
  <c r="E283" i="3"/>
  <c r="D283" i="3"/>
  <c r="C283" i="3"/>
  <c r="E282" i="3"/>
  <c r="D282" i="3"/>
  <c r="C282" i="3"/>
  <c r="E281" i="3"/>
  <c r="D281" i="3"/>
  <c r="C281" i="3"/>
  <c r="E280" i="3"/>
  <c r="D280" i="3"/>
  <c r="C280" i="3"/>
  <c r="E279" i="3"/>
  <c r="D279" i="3"/>
  <c r="C279" i="3"/>
  <c r="E278" i="3"/>
  <c r="D278" i="3"/>
  <c r="C278" i="3"/>
  <c r="E277" i="3"/>
  <c r="D277" i="3"/>
  <c r="C277" i="3"/>
  <c r="E276" i="3"/>
  <c r="D276" i="3"/>
  <c r="C276" i="3"/>
  <c r="E275" i="3"/>
  <c r="D275" i="3"/>
  <c r="C275" i="3"/>
  <c r="E274" i="3"/>
  <c r="D274" i="3"/>
  <c r="C274" i="3"/>
  <c r="E272" i="3"/>
  <c r="D272" i="3"/>
  <c r="C272" i="3"/>
  <c r="E271" i="3"/>
  <c r="D271" i="3"/>
  <c r="C271" i="3"/>
  <c r="E270" i="3"/>
  <c r="D270" i="3"/>
  <c r="C270" i="3"/>
  <c r="E269" i="3"/>
  <c r="D269" i="3"/>
  <c r="C269" i="3"/>
  <c r="E268" i="3"/>
  <c r="D268" i="3"/>
  <c r="C268" i="3"/>
  <c r="E267" i="3"/>
  <c r="D267" i="3"/>
  <c r="C267" i="3"/>
  <c r="E266" i="3"/>
  <c r="D266" i="3"/>
  <c r="C266" i="3"/>
  <c r="E265" i="3"/>
  <c r="D265" i="3"/>
  <c r="C265" i="3"/>
  <c r="E263" i="3"/>
  <c r="D263" i="3"/>
  <c r="C263" i="3"/>
  <c r="E262" i="3"/>
  <c r="D262" i="3"/>
  <c r="C262" i="3"/>
  <c r="E261" i="3"/>
  <c r="D261" i="3"/>
  <c r="C261" i="3"/>
  <c r="E260" i="3"/>
  <c r="D260" i="3"/>
  <c r="C260" i="3"/>
  <c r="E259" i="3"/>
  <c r="D259" i="3"/>
  <c r="C259" i="3"/>
  <c r="E258" i="3"/>
  <c r="D258" i="3"/>
  <c r="C258" i="3"/>
  <c r="E257" i="3"/>
  <c r="D257" i="3"/>
  <c r="C257" i="3"/>
  <c r="E256" i="3"/>
  <c r="D256" i="3"/>
  <c r="C256" i="3"/>
  <c r="E255" i="3"/>
  <c r="D255" i="3"/>
  <c r="C255" i="3"/>
  <c r="E254" i="3"/>
  <c r="D254" i="3"/>
  <c r="C254" i="3"/>
  <c r="E253" i="3"/>
  <c r="D253" i="3"/>
  <c r="C253" i="3"/>
  <c r="E252" i="3"/>
  <c r="D252" i="3"/>
  <c r="C252" i="3"/>
  <c r="E251" i="3"/>
  <c r="D251" i="3"/>
  <c r="C251" i="3"/>
  <c r="E250" i="3"/>
  <c r="D250" i="3"/>
  <c r="C250" i="3"/>
  <c r="E248" i="3"/>
  <c r="D248" i="3"/>
  <c r="C248" i="3"/>
  <c r="E247" i="3"/>
  <c r="D247" i="3"/>
  <c r="C247" i="3"/>
  <c r="E246" i="3"/>
  <c r="D246" i="3"/>
  <c r="C246" i="3"/>
  <c r="E245" i="3"/>
  <c r="D245" i="3"/>
  <c r="C245" i="3"/>
  <c r="E244" i="3"/>
  <c r="D244" i="3"/>
  <c r="C244" i="3"/>
  <c r="E243" i="3"/>
  <c r="D243" i="3"/>
  <c r="C243" i="3"/>
  <c r="E242" i="3"/>
  <c r="D242" i="3"/>
  <c r="C242" i="3"/>
  <c r="E241" i="3"/>
  <c r="D241" i="3"/>
  <c r="C241" i="3"/>
  <c r="E240" i="3"/>
  <c r="D240" i="3"/>
  <c r="C240" i="3"/>
  <c r="E239" i="3"/>
  <c r="D239" i="3"/>
  <c r="C239" i="3"/>
  <c r="E238" i="3"/>
  <c r="D238" i="3"/>
  <c r="C238" i="3"/>
  <c r="E237" i="3"/>
  <c r="D237" i="3"/>
  <c r="C237" i="3"/>
  <c r="E236" i="3"/>
  <c r="D236" i="3"/>
  <c r="C236" i="3"/>
  <c r="E235" i="3"/>
  <c r="D235" i="3"/>
  <c r="C235" i="3"/>
  <c r="E234" i="3"/>
  <c r="D234" i="3"/>
  <c r="C234" i="3"/>
  <c r="E233" i="3"/>
  <c r="D233" i="3"/>
  <c r="C233" i="3"/>
  <c r="E232" i="3"/>
  <c r="D232" i="3"/>
  <c r="C232" i="3"/>
  <c r="E231" i="3"/>
  <c r="D231" i="3"/>
  <c r="C231" i="3"/>
  <c r="E230" i="3"/>
  <c r="D230" i="3"/>
  <c r="C230" i="3"/>
  <c r="E229" i="3"/>
  <c r="D229" i="3"/>
  <c r="C229" i="3"/>
  <c r="E228" i="3"/>
  <c r="D228" i="3"/>
  <c r="C228" i="3"/>
  <c r="E227" i="3"/>
  <c r="D227" i="3"/>
  <c r="C227" i="3"/>
  <c r="E226" i="3"/>
  <c r="D226" i="3"/>
  <c r="C226" i="3"/>
  <c r="E225" i="3"/>
  <c r="D225" i="3"/>
  <c r="C225" i="3"/>
  <c r="E224" i="3"/>
  <c r="D224" i="3"/>
  <c r="C224" i="3"/>
  <c r="E223" i="3"/>
  <c r="D223" i="3"/>
  <c r="C223" i="3"/>
  <c r="E222" i="3"/>
  <c r="D222" i="3"/>
  <c r="C222" i="3"/>
  <c r="E221" i="3"/>
  <c r="D221" i="3"/>
  <c r="C221" i="3"/>
  <c r="E220" i="3"/>
  <c r="D220" i="3"/>
  <c r="C220" i="3"/>
  <c r="E219" i="3"/>
  <c r="D219" i="3"/>
  <c r="C219" i="3"/>
  <c r="E218" i="3"/>
  <c r="D218" i="3"/>
  <c r="C218" i="3"/>
  <c r="E216" i="3"/>
  <c r="D216" i="3"/>
  <c r="C216" i="3"/>
  <c r="E215" i="3"/>
  <c r="D215" i="3"/>
  <c r="C215" i="3"/>
  <c r="E214" i="3"/>
  <c r="D214" i="3"/>
  <c r="C214" i="3"/>
  <c r="E213" i="3"/>
  <c r="D213" i="3"/>
  <c r="C213" i="3"/>
  <c r="E212" i="3"/>
  <c r="D212" i="3"/>
  <c r="C212" i="3"/>
  <c r="E211" i="3"/>
  <c r="D211" i="3"/>
  <c r="C211" i="3"/>
  <c r="E210" i="3"/>
  <c r="D210" i="3"/>
  <c r="C210" i="3"/>
  <c r="E209" i="3"/>
  <c r="D209" i="3"/>
  <c r="C209" i="3"/>
  <c r="E208" i="3"/>
  <c r="D208" i="3"/>
  <c r="C208" i="3"/>
  <c r="E207" i="3"/>
  <c r="D207" i="3"/>
  <c r="C207" i="3"/>
  <c r="E206" i="3"/>
  <c r="D206" i="3"/>
  <c r="C206" i="3"/>
  <c r="E205" i="3"/>
  <c r="D205" i="3"/>
  <c r="C205" i="3"/>
  <c r="E204" i="3"/>
  <c r="D204" i="3"/>
  <c r="C204" i="3"/>
  <c r="E203" i="3"/>
  <c r="D203" i="3"/>
  <c r="C203" i="3"/>
  <c r="E202" i="3"/>
  <c r="D202" i="3"/>
  <c r="C202" i="3"/>
  <c r="E201" i="3"/>
  <c r="D201" i="3"/>
  <c r="C201" i="3"/>
  <c r="E200" i="3"/>
  <c r="D200" i="3"/>
  <c r="C200" i="3"/>
  <c r="E199" i="3"/>
  <c r="D199" i="3"/>
  <c r="C199" i="3"/>
  <c r="E198" i="3"/>
  <c r="D198" i="3"/>
  <c r="C198" i="3"/>
  <c r="E197" i="3"/>
  <c r="D197" i="3"/>
  <c r="C197" i="3"/>
  <c r="E196" i="3"/>
  <c r="D196" i="3"/>
  <c r="C196" i="3"/>
  <c r="E195" i="3"/>
  <c r="D195" i="3"/>
  <c r="C195" i="3"/>
  <c r="E193" i="3"/>
  <c r="D193" i="3"/>
  <c r="C193" i="3"/>
  <c r="E192" i="3"/>
  <c r="D192" i="3"/>
  <c r="C192" i="3"/>
  <c r="E191" i="3"/>
  <c r="D191" i="3"/>
  <c r="C191" i="3"/>
  <c r="E190" i="3"/>
  <c r="D190" i="3"/>
  <c r="C190" i="3"/>
  <c r="E189" i="3"/>
  <c r="D189" i="3"/>
  <c r="C189" i="3"/>
  <c r="E188" i="3"/>
  <c r="D188" i="3"/>
  <c r="C188" i="3"/>
  <c r="E187" i="3"/>
  <c r="D187" i="3"/>
  <c r="C187" i="3"/>
  <c r="E186" i="3"/>
  <c r="D186" i="3"/>
  <c r="C186" i="3"/>
  <c r="E185" i="3"/>
  <c r="D185" i="3"/>
  <c r="C185" i="3"/>
  <c r="E184" i="3"/>
  <c r="D184" i="3"/>
  <c r="C184" i="3"/>
  <c r="E183" i="3"/>
  <c r="D183" i="3"/>
  <c r="C183" i="3"/>
  <c r="E182" i="3"/>
  <c r="D182" i="3"/>
  <c r="C182" i="3"/>
  <c r="E181" i="3"/>
  <c r="D181" i="3"/>
  <c r="C181" i="3"/>
  <c r="E180" i="3"/>
  <c r="D180" i="3"/>
  <c r="C180" i="3"/>
  <c r="E179" i="3"/>
  <c r="D179" i="3"/>
  <c r="C179" i="3"/>
  <c r="E178" i="3"/>
  <c r="D178" i="3"/>
  <c r="C178" i="3"/>
  <c r="E177" i="3"/>
  <c r="D177" i="3"/>
  <c r="C177" i="3"/>
  <c r="E176" i="3"/>
  <c r="D176" i="3"/>
  <c r="C176" i="3"/>
  <c r="E175" i="3"/>
  <c r="D175" i="3"/>
  <c r="C175" i="3"/>
  <c r="E174" i="3"/>
  <c r="D174" i="3"/>
  <c r="C174" i="3"/>
  <c r="E173" i="3"/>
  <c r="D173" i="3"/>
  <c r="C173" i="3"/>
  <c r="E172" i="3"/>
  <c r="D172" i="3"/>
  <c r="C172" i="3"/>
  <c r="E171" i="3"/>
  <c r="D171" i="3"/>
  <c r="C171" i="3"/>
  <c r="E170" i="3"/>
  <c r="D170" i="3"/>
  <c r="C170" i="3"/>
  <c r="E169" i="3"/>
  <c r="D169" i="3"/>
  <c r="C169" i="3"/>
  <c r="E168" i="3"/>
  <c r="D168" i="3"/>
  <c r="C168" i="3"/>
  <c r="E167" i="3"/>
  <c r="D167" i="3"/>
  <c r="C167" i="3"/>
  <c r="E166" i="3"/>
  <c r="D166" i="3"/>
  <c r="C166" i="3"/>
  <c r="E165" i="3"/>
  <c r="D165" i="3"/>
  <c r="C165" i="3"/>
  <c r="E164" i="3"/>
  <c r="D164" i="3"/>
  <c r="C164" i="3"/>
  <c r="E163" i="3"/>
  <c r="D163" i="3"/>
  <c r="C163" i="3"/>
  <c r="E162" i="3"/>
  <c r="D162" i="3"/>
  <c r="C162" i="3"/>
  <c r="E161" i="3"/>
  <c r="D161" i="3"/>
  <c r="C161" i="3"/>
  <c r="E160" i="3"/>
  <c r="D160" i="3"/>
  <c r="C160" i="3"/>
  <c r="E159" i="3"/>
  <c r="D159" i="3"/>
  <c r="C159" i="3"/>
  <c r="E158" i="3"/>
  <c r="D158" i="3"/>
  <c r="C158" i="3"/>
  <c r="E157" i="3"/>
  <c r="D157" i="3"/>
  <c r="C157" i="3"/>
  <c r="E155" i="3"/>
  <c r="D155" i="3"/>
  <c r="C155" i="3"/>
  <c r="E154" i="3"/>
  <c r="D154" i="3"/>
  <c r="C154" i="3"/>
  <c r="E153" i="3"/>
  <c r="D153" i="3"/>
  <c r="C153" i="3"/>
  <c r="E152" i="3"/>
  <c r="D152" i="3"/>
  <c r="C152" i="3"/>
  <c r="E151" i="3"/>
  <c r="D151" i="3"/>
  <c r="C151" i="3"/>
  <c r="E150" i="3"/>
  <c r="D150" i="3"/>
  <c r="C150" i="3"/>
  <c r="E149" i="3"/>
  <c r="D149" i="3"/>
  <c r="C149" i="3"/>
  <c r="E148" i="3"/>
  <c r="D148" i="3"/>
  <c r="C148" i="3"/>
  <c r="E147" i="3"/>
  <c r="D147" i="3"/>
  <c r="C147" i="3"/>
  <c r="E146" i="3"/>
  <c r="D146" i="3"/>
  <c r="C146" i="3"/>
  <c r="E145" i="3"/>
  <c r="D145" i="3"/>
  <c r="C145" i="3"/>
  <c r="E144" i="3"/>
  <c r="D144" i="3"/>
  <c r="C144" i="3"/>
  <c r="E143" i="3"/>
  <c r="D143" i="3"/>
  <c r="C143" i="3"/>
  <c r="E142" i="3"/>
  <c r="D142" i="3"/>
  <c r="C142" i="3"/>
  <c r="E141" i="3"/>
  <c r="D141" i="3"/>
  <c r="C141" i="3"/>
  <c r="E140" i="3"/>
  <c r="D140" i="3"/>
  <c r="C140" i="3"/>
  <c r="E139" i="3"/>
  <c r="D139" i="3"/>
  <c r="C139" i="3"/>
  <c r="E16" i="3"/>
  <c r="D16" i="3"/>
  <c r="C16" i="3"/>
  <c r="E138" i="3"/>
  <c r="D138" i="3"/>
  <c r="C138" i="3"/>
  <c r="E137" i="3"/>
  <c r="D137" i="3"/>
  <c r="C137" i="3"/>
  <c r="E136" i="3"/>
  <c r="D136" i="3"/>
  <c r="C136" i="3"/>
  <c r="E135" i="3"/>
  <c r="D135" i="3"/>
  <c r="C135" i="3"/>
  <c r="E134" i="3"/>
  <c r="D134" i="3"/>
  <c r="C134" i="3"/>
  <c r="E133" i="3"/>
  <c r="D133" i="3"/>
  <c r="C133" i="3"/>
  <c r="E132" i="3"/>
  <c r="D132" i="3"/>
  <c r="C132" i="3"/>
  <c r="E131" i="3"/>
  <c r="D131" i="3"/>
  <c r="C131" i="3"/>
  <c r="E130" i="3"/>
  <c r="D130" i="3"/>
  <c r="C130" i="3"/>
  <c r="E129" i="3"/>
  <c r="D129" i="3"/>
  <c r="C129" i="3"/>
  <c r="E128" i="3"/>
  <c r="D128" i="3"/>
  <c r="C128" i="3"/>
  <c r="E127" i="3"/>
  <c r="D127" i="3"/>
  <c r="C127" i="3"/>
  <c r="E126" i="3"/>
  <c r="D126" i="3"/>
  <c r="C126" i="3"/>
  <c r="E125" i="3"/>
  <c r="D125" i="3"/>
  <c r="C125" i="3"/>
  <c r="E124" i="3"/>
  <c r="D124" i="3"/>
  <c r="C124" i="3"/>
  <c r="E123" i="3"/>
  <c r="D123" i="3"/>
  <c r="C123" i="3"/>
  <c r="E122" i="3"/>
  <c r="D122" i="3"/>
  <c r="C122" i="3"/>
  <c r="E121" i="3"/>
  <c r="D121" i="3"/>
  <c r="C121" i="3"/>
  <c r="E120" i="3"/>
  <c r="D120" i="3"/>
  <c r="C120" i="3"/>
  <c r="E119" i="3"/>
  <c r="D119" i="3"/>
  <c r="C119" i="3"/>
  <c r="E118" i="3"/>
  <c r="D118" i="3"/>
  <c r="C118" i="3"/>
  <c r="E117" i="3"/>
  <c r="D117" i="3"/>
  <c r="C117" i="3"/>
  <c r="E116" i="3"/>
  <c r="D116" i="3"/>
  <c r="C116" i="3"/>
  <c r="E115" i="3"/>
  <c r="D115" i="3"/>
  <c r="C115" i="3"/>
  <c r="E114" i="3"/>
  <c r="D114" i="3"/>
  <c r="C114" i="3"/>
  <c r="E113" i="3"/>
  <c r="D113" i="3"/>
  <c r="C113" i="3"/>
  <c r="E112" i="3"/>
  <c r="D112" i="3"/>
  <c r="C112" i="3"/>
  <c r="E111" i="3"/>
  <c r="D111" i="3"/>
  <c r="C111" i="3"/>
  <c r="E108" i="3"/>
  <c r="D108" i="3"/>
  <c r="C108" i="3"/>
  <c r="E107" i="3"/>
  <c r="D107" i="3"/>
  <c r="C107" i="3"/>
  <c r="E106" i="3"/>
  <c r="D106" i="3"/>
  <c r="C106" i="3"/>
  <c r="E105" i="3"/>
  <c r="D105" i="3"/>
  <c r="C105" i="3"/>
  <c r="E104" i="3"/>
  <c r="D104" i="3"/>
  <c r="C104" i="3"/>
  <c r="E103" i="3"/>
  <c r="D103" i="3"/>
  <c r="C103" i="3"/>
  <c r="E102" i="3"/>
  <c r="D102" i="3"/>
  <c r="C102" i="3"/>
  <c r="E101" i="3"/>
  <c r="D101" i="3"/>
  <c r="C101" i="3"/>
  <c r="E100" i="3"/>
  <c r="D100" i="3"/>
  <c r="C100" i="3"/>
  <c r="E99" i="3"/>
  <c r="D99" i="3"/>
  <c r="C99" i="3"/>
  <c r="E98" i="3"/>
  <c r="D98" i="3"/>
  <c r="C98" i="3"/>
  <c r="E97" i="3"/>
  <c r="D97" i="3"/>
  <c r="C97" i="3"/>
  <c r="E96" i="3"/>
  <c r="D96" i="3"/>
  <c r="C96" i="3"/>
  <c r="E95" i="3"/>
  <c r="D95" i="3"/>
  <c r="C95" i="3"/>
  <c r="E94" i="3"/>
  <c r="D94" i="3"/>
  <c r="C94" i="3"/>
  <c r="E93" i="3"/>
  <c r="D93" i="3"/>
  <c r="C93" i="3"/>
  <c r="E92" i="3"/>
  <c r="D92" i="3"/>
  <c r="C92" i="3"/>
  <c r="E91" i="3"/>
  <c r="D91" i="3"/>
  <c r="C91" i="3"/>
  <c r="E90" i="3"/>
  <c r="D90" i="3"/>
  <c r="C90" i="3"/>
  <c r="E89" i="3"/>
  <c r="D89" i="3"/>
  <c r="C89" i="3"/>
  <c r="E88" i="3"/>
  <c r="D88" i="3"/>
  <c r="C88" i="3"/>
  <c r="E87" i="3"/>
  <c r="D87" i="3"/>
  <c r="C87" i="3"/>
  <c r="E86" i="3"/>
  <c r="D86" i="3"/>
  <c r="C86" i="3"/>
  <c r="E85" i="3"/>
  <c r="D85" i="3"/>
  <c r="C85" i="3"/>
  <c r="E84" i="3"/>
  <c r="D84" i="3"/>
  <c r="C84" i="3"/>
  <c r="E83" i="3"/>
  <c r="D83" i="3"/>
  <c r="C83" i="3"/>
  <c r="E82" i="3"/>
  <c r="D82" i="3"/>
  <c r="C82" i="3"/>
  <c r="E81" i="3"/>
  <c r="D81" i="3"/>
  <c r="C81" i="3"/>
  <c r="E80" i="3"/>
  <c r="D80" i="3"/>
  <c r="C80" i="3"/>
  <c r="E79" i="3"/>
  <c r="D79" i="3"/>
  <c r="C79" i="3"/>
  <c r="E78" i="3"/>
  <c r="D78" i="3"/>
  <c r="C78" i="3"/>
  <c r="E77" i="3"/>
  <c r="D77" i="3"/>
  <c r="C77" i="3"/>
  <c r="E76" i="3"/>
  <c r="D76" i="3"/>
  <c r="C76" i="3"/>
  <c r="E75" i="3"/>
  <c r="D75" i="3"/>
  <c r="C75" i="3"/>
  <c r="E74" i="3"/>
  <c r="D74" i="3"/>
  <c r="C74" i="3"/>
  <c r="E73" i="3"/>
  <c r="D73" i="3"/>
  <c r="C73" i="3"/>
  <c r="E72" i="3"/>
  <c r="D72" i="3"/>
  <c r="C72" i="3"/>
  <c r="E71" i="3"/>
  <c r="D71" i="3"/>
  <c r="C71" i="3"/>
  <c r="E70" i="3"/>
  <c r="D70" i="3"/>
  <c r="C70" i="3"/>
  <c r="E69" i="3"/>
  <c r="D69" i="3"/>
  <c r="C69" i="3"/>
  <c r="E68" i="3"/>
  <c r="D68" i="3"/>
  <c r="C68" i="3"/>
  <c r="E67" i="3"/>
  <c r="D67" i="3"/>
  <c r="C67" i="3"/>
  <c r="E66" i="3"/>
  <c r="D66" i="3"/>
  <c r="C66" i="3"/>
  <c r="E65" i="3"/>
  <c r="D65" i="3"/>
  <c r="C65" i="3"/>
  <c r="E64" i="3"/>
  <c r="D64" i="3"/>
  <c r="C64" i="3"/>
  <c r="E63" i="3"/>
  <c r="D63" i="3"/>
  <c r="C63" i="3"/>
  <c r="E62" i="3"/>
  <c r="D62" i="3"/>
  <c r="C62" i="3"/>
  <c r="E61" i="3"/>
  <c r="D61" i="3"/>
  <c r="C61" i="3"/>
  <c r="E60" i="3"/>
  <c r="D60" i="3"/>
  <c r="C60" i="3"/>
  <c r="E59" i="3"/>
  <c r="D59" i="3"/>
  <c r="C59" i="3"/>
  <c r="E58" i="3"/>
  <c r="D58" i="3"/>
  <c r="C58" i="3"/>
  <c r="E57" i="3"/>
  <c r="D57" i="3"/>
  <c r="C57" i="3"/>
  <c r="E56" i="3"/>
  <c r="D56" i="3"/>
  <c r="C56" i="3"/>
  <c r="E55" i="3"/>
  <c r="D55" i="3"/>
  <c r="C55" i="3"/>
  <c r="E54" i="3"/>
  <c r="D54" i="3"/>
  <c r="C54" i="3"/>
  <c r="E53" i="3"/>
  <c r="D53" i="3"/>
  <c r="C53" i="3"/>
  <c r="E52" i="3"/>
  <c r="D52" i="3"/>
  <c r="C52" i="3"/>
  <c r="E51" i="3"/>
  <c r="D51" i="3"/>
  <c r="C51" i="3"/>
  <c r="E50" i="3"/>
  <c r="D50" i="3"/>
  <c r="C50" i="3"/>
  <c r="E49" i="3"/>
  <c r="D49" i="3"/>
  <c r="C49" i="3"/>
  <c r="E48" i="3"/>
  <c r="D48" i="3"/>
  <c r="C48" i="3"/>
  <c r="E47" i="3"/>
  <c r="D47" i="3"/>
  <c r="C47" i="3"/>
  <c r="E46" i="3"/>
  <c r="D46" i="3"/>
  <c r="C46" i="3"/>
  <c r="E45" i="3"/>
  <c r="D45" i="3"/>
  <c r="C45" i="3"/>
  <c r="E44" i="3"/>
  <c r="D44" i="3"/>
  <c r="C44" i="3"/>
  <c r="E43" i="3"/>
  <c r="D43" i="3"/>
  <c r="C43" i="3"/>
  <c r="E42" i="3"/>
  <c r="D42" i="3"/>
  <c r="C42" i="3"/>
  <c r="E41" i="3"/>
  <c r="D41" i="3"/>
  <c r="C41" i="3"/>
  <c r="E40" i="3"/>
  <c r="D40" i="3"/>
  <c r="C40" i="3"/>
  <c r="E39" i="3"/>
  <c r="D39" i="3"/>
  <c r="C39" i="3"/>
  <c r="E38" i="3"/>
  <c r="D38" i="3"/>
  <c r="C38" i="3"/>
  <c r="E37" i="3"/>
  <c r="D37" i="3"/>
  <c r="C37" i="3"/>
  <c r="E36" i="3"/>
  <c r="D36" i="3"/>
  <c r="C36" i="3"/>
  <c r="E35" i="3"/>
  <c r="D35" i="3"/>
  <c r="C35" i="3"/>
  <c r="E34" i="3"/>
  <c r="D34" i="3"/>
  <c r="C34" i="3"/>
  <c r="E33" i="3"/>
  <c r="D33" i="3"/>
  <c r="C33" i="3"/>
  <c r="E32" i="3"/>
  <c r="D32" i="3"/>
  <c r="C32" i="3"/>
  <c r="E31" i="3"/>
  <c r="D31" i="3"/>
  <c r="C31" i="3"/>
  <c r="E30" i="3"/>
  <c r="D30" i="3"/>
  <c r="C30" i="3"/>
  <c r="E29" i="3"/>
  <c r="D29" i="3"/>
  <c r="C29" i="3"/>
  <c r="E28" i="3"/>
  <c r="D28" i="3"/>
  <c r="C28" i="3"/>
  <c r="E27" i="3"/>
  <c r="D27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2" i="3"/>
  <c r="D22" i="3"/>
  <c r="C22" i="3"/>
  <c r="E21" i="3"/>
  <c r="D21" i="3"/>
  <c r="C21" i="3"/>
  <c r="E20" i="3"/>
  <c r="D20" i="3"/>
  <c r="C20" i="3"/>
  <c r="E19" i="3"/>
  <c r="D19" i="3"/>
  <c r="C19" i="3"/>
  <c r="E18" i="3"/>
  <c r="D18" i="3"/>
  <c r="C18" i="3"/>
  <c r="E17" i="3"/>
  <c r="D17" i="3"/>
  <c r="C17" i="3"/>
  <c r="E15" i="3"/>
  <c r="D15" i="3"/>
  <c r="C15" i="3"/>
  <c r="E14" i="3"/>
  <c r="D14" i="3"/>
  <c r="C14" i="3"/>
  <c r="E13" i="3"/>
  <c r="D13" i="3"/>
  <c r="C13" i="3"/>
  <c r="E12" i="3"/>
  <c r="D12" i="3"/>
  <c r="C12" i="3"/>
  <c r="E11" i="3"/>
  <c r="D11" i="3"/>
  <c r="C11" i="3"/>
  <c r="E10" i="3"/>
  <c r="D10" i="3"/>
  <c r="C10" i="3"/>
  <c r="E9" i="3"/>
  <c r="D9" i="3"/>
  <c r="C9" i="3"/>
  <c r="J241" i="9"/>
  <c r="I241" i="9"/>
  <c r="D241" i="9"/>
  <c r="C241" i="9"/>
  <c r="I314" i="9"/>
  <c r="I313" i="9"/>
  <c r="I312" i="9"/>
  <c r="I311" i="9"/>
  <c r="I310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6" i="9"/>
  <c r="I265" i="9"/>
  <c r="I264" i="9"/>
  <c r="I263" i="9"/>
  <c r="I262" i="9"/>
  <c r="I261" i="9"/>
  <c r="I260" i="9"/>
  <c r="I259" i="9"/>
  <c r="I258" i="9"/>
  <c r="I257" i="9"/>
  <c r="E82" i="31" s="1"/>
  <c r="I256" i="9"/>
  <c r="I255" i="9"/>
  <c r="I254" i="9"/>
  <c r="I252" i="9"/>
  <c r="I251" i="9"/>
  <c r="I250" i="9"/>
  <c r="I249" i="9"/>
  <c r="I248" i="9"/>
  <c r="I247" i="9"/>
  <c r="I246" i="9"/>
  <c r="I245" i="9"/>
  <c r="I244" i="9"/>
  <c r="I243" i="9"/>
  <c r="I242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7" i="9"/>
  <c r="I168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1" i="9"/>
  <c r="I112" i="9"/>
  <c r="I110" i="9"/>
  <c r="I109" i="9"/>
  <c r="I108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D314" i="9"/>
  <c r="D313" i="9"/>
  <c r="D312" i="9"/>
  <c r="D311" i="9"/>
  <c r="D309" i="9"/>
  <c r="D308" i="9"/>
  <c r="D307" i="9"/>
  <c r="D306" i="9"/>
  <c r="D305" i="9"/>
  <c r="D304" i="9"/>
  <c r="D303" i="9"/>
  <c r="D302" i="9"/>
  <c r="D301" i="9"/>
  <c r="D300" i="9"/>
  <c r="D299" i="9"/>
  <c r="D298" i="9"/>
  <c r="D297" i="9"/>
  <c r="D296" i="9"/>
  <c r="D295" i="9"/>
  <c r="D294" i="9"/>
  <c r="D293" i="9"/>
  <c r="D292" i="9"/>
  <c r="D291" i="9"/>
  <c r="D290" i="9"/>
  <c r="D289" i="9"/>
  <c r="D288" i="9"/>
  <c r="D287" i="9"/>
  <c r="D286" i="9"/>
  <c r="D285" i="9"/>
  <c r="D284" i="9"/>
  <c r="D283" i="9"/>
  <c r="D282" i="9"/>
  <c r="D281" i="9"/>
  <c r="D280" i="9"/>
  <c r="D279" i="9"/>
  <c r="D278" i="9"/>
  <c r="D277" i="9"/>
  <c r="D276" i="9"/>
  <c r="D275" i="9"/>
  <c r="D274" i="9"/>
  <c r="D273" i="9"/>
  <c r="D272" i="9"/>
  <c r="D271" i="9"/>
  <c r="D270" i="9"/>
  <c r="D269" i="9"/>
  <c r="D268" i="9"/>
  <c r="D266" i="9"/>
  <c r="D265" i="9"/>
  <c r="D264" i="9"/>
  <c r="D263" i="9"/>
  <c r="D262" i="9"/>
  <c r="D261" i="9"/>
  <c r="D260" i="9"/>
  <c r="D259" i="9"/>
  <c r="D258" i="9"/>
  <c r="D257" i="9"/>
  <c r="E68" i="31" s="1"/>
  <c r="D256" i="9"/>
  <c r="D255" i="9"/>
  <c r="D254" i="9"/>
  <c r="D252" i="9"/>
  <c r="D251" i="9"/>
  <c r="D250" i="9"/>
  <c r="D249" i="9"/>
  <c r="D248" i="9"/>
  <c r="D247" i="9"/>
  <c r="D246" i="9"/>
  <c r="D245" i="9"/>
  <c r="D244" i="9"/>
  <c r="D243" i="9"/>
  <c r="D242" i="9"/>
  <c r="D240" i="9"/>
  <c r="D239" i="9"/>
  <c r="D238" i="9"/>
  <c r="D237" i="9"/>
  <c r="D236" i="9"/>
  <c r="D235" i="9"/>
  <c r="D234" i="9"/>
  <c r="D233" i="9"/>
  <c r="D232" i="9"/>
  <c r="D231" i="9"/>
  <c r="D230" i="9"/>
  <c r="D229" i="9"/>
  <c r="D228" i="9"/>
  <c r="D227" i="9"/>
  <c r="D226" i="9"/>
  <c r="D225" i="9"/>
  <c r="D224" i="9"/>
  <c r="D223" i="9"/>
  <c r="D222" i="9"/>
  <c r="D221" i="9"/>
  <c r="D220" i="9"/>
  <c r="D219" i="9"/>
  <c r="D218" i="9"/>
  <c r="D217" i="9"/>
  <c r="D216" i="9"/>
  <c r="D215" i="9"/>
  <c r="D214" i="9"/>
  <c r="D213" i="9"/>
  <c r="D212" i="9"/>
  <c r="D211" i="9"/>
  <c r="D210" i="9"/>
  <c r="D209" i="9"/>
  <c r="D208" i="9"/>
  <c r="D207" i="9"/>
  <c r="D206" i="9"/>
  <c r="D205" i="9"/>
  <c r="D204" i="9"/>
  <c r="D203" i="9"/>
  <c r="D202" i="9"/>
  <c r="D201" i="9"/>
  <c r="D200" i="9"/>
  <c r="D199" i="9"/>
  <c r="D196" i="9"/>
  <c r="D195" i="9"/>
  <c r="D194" i="9"/>
  <c r="D193" i="9"/>
  <c r="D192" i="9"/>
  <c r="D191" i="9"/>
  <c r="D190" i="9"/>
  <c r="D189" i="9"/>
  <c r="D188" i="9"/>
  <c r="D187" i="9"/>
  <c r="D186" i="9"/>
  <c r="D185" i="9"/>
  <c r="D184" i="9"/>
  <c r="D183" i="9"/>
  <c r="D182" i="9"/>
  <c r="D181" i="9"/>
  <c r="D180" i="9"/>
  <c r="D179" i="9"/>
  <c r="D178" i="9"/>
  <c r="D177" i="9"/>
  <c r="D176" i="9"/>
  <c r="D175" i="9"/>
  <c r="D174" i="9"/>
  <c r="D173" i="9"/>
  <c r="D172" i="9"/>
  <c r="D171" i="9"/>
  <c r="D170" i="9"/>
  <c r="D169" i="9"/>
  <c r="D167" i="9"/>
  <c r="D168" i="9"/>
  <c r="D166" i="9"/>
  <c r="D165" i="9"/>
  <c r="D164" i="9"/>
  <c r="D163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D149" i="9"/>
  <c r="D148" i="9"/>
  <c r="D147" i="9"/>
  <c r="D146" i="9"/>
  <c r="D145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1" i="9"/>
  <c r="D112" i="9"/>
  <c r="D110" i="9"/>
  <c r="D109" i="9"/>
  <c r="D108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J314" i="9"/>
  <c r="J313" i="9"/>
  <c r="J312" i="9"/>
  <c r="J311" i="9"/>
  <c r="J310" i="9"/>
  <c r="J309" i="9"/>
  <c r="J308" i="9"/>
  <c r="J307" i="9"/>
  <c r="J306" i="9"/>
  <c r="J305" i="9"/>
  <c r="J304" i="9"/>
  <c r="J303" i="9"/>
  <c r="J302" i="9"/>
  <c r="J301" i="9"/>
  <c r="J300" i="9"/>
  <c r="J299" i="9"/>
  <c r="J298" i="9"/>
  <c r="J297" i="9"/>
  <c r="J296" i="9"/>
  <c r="J295" i="9"/>
  <c r="J294" i="9"/>
  <c r="J293" i="9"/>
  <c r="J292" i="9"/>
  <c r="J291" i="9"/>
  <c r="J290" i="9"/>
  <c r="J289" i="9"/>
  <c r="J288" i="9"/>
  <c r="J287" i="9"/>
  <c r="J286" i="9"/>
  <c r="J285" i="9"/>
  <c r="J284" i="9"/>
  <c r="J283" i="9"/>
  <c r="J282" i="9"/>
  <c r="J281" i="9"/>
  <c r="J280" i="9"/>
  <c r="J279" i="9"/>
  <c r="J278" i="9"/>
  <c r="J277" i="9"/>
  <c r="J276" i="9"/>
  <c r="J275" i="9"/>
  <c r="J274" i="9"/>
  <c r="J273" i="9"/>
  <c r="J272" i="9"/>
  <c r="J271" i="9"/>
  <c r="J270" i="9"/>
  <c r="J269" i="9"/>
  <c r="J268" i="9"/>
  <c r="J266" i="9"/>
  <c r="J265" i="9"/>
  <c r="J264" i="9"/>
  <c r="J263" i="9"/>
  <c r="J262" i="9"/>
  <c r="J261" i="9"/>
  <c r="J260" i="9"/>
  <c r="J259" i="9"/>
  <c r="J258" i="9"/>
  <c r="J257" i="9"/>
  <c r="E86" i="31" s="1"/>
  <c r="J256" i="9"/>
  <c r="J255" i="9"/>
  <c r="J254" i="9"/>
  <c r="J252" i="9"/>
  <c r="J251" i="9"/>
  <c r="J250" i="9"/>
  <c r="J249" i="9"/>
  <c r="J248" i="9"/>
  <c r="J247" i="9"/>
  <c r="J246" i="9"/>
  <c r="J245" i="9"/>
  <c r="J244" i="9"/>
  <c r="J243" i="9"/>
  <c r="J242" i="9"/>
  <c r="J240" i="9"/>
  <c r="J239" i="9"/>
  <c r="J238" i="9"/>
  <c r="J237" i="9"/>
  <c r="J236" i="9"/>
  <c r="J235" i="9"/>
  <c r="J234" i="9"/>
  <c r="J233" i="9"/>
  <c r="J232" i="9"/>
  <c r="J231" i="9"/>
  <c r="J230" i="9"/>
  <c r="J229" i="9"/>
  <c r="J228" i="9"/>
  <c r="J227" i="9"/>
  <c r="J226" i="9"/>
  <c r="J225" i="9"/>
  <c r="J224" i="9"/>
  <c r="J223" i="9"/>
  <c r="J222" i="9"/>
  <c r="J221" i="9"/>
  <c r="J220" i="9"/>
  <c r="J219" i="9"/>
  <c r="J218" i="9"/>
  <c r="J217" i="9"/>
  <c r="J216" i="9"/>
  <c r="J215" i="9"/>
  <c r="J214" i="9"/>
  <c r="J213" i="9"/>
  <c r="J212" i="9"/>
  <c r="J211" i="9"/>
  <c r="J210" i="9"/>
  <c r="J209" i="9"/>
  <c r="J208" i="9"/>
  <c r="J207" i="9"/>
  <c r="J206" i="9"/>
  <c r="J205" i="9"/>
  <c r="J204" i="9"/>
  <c r="J203" i="9"/>
  <c r="J202" i="9"/>
  <c r="J201" i="9"/>
  <c r="J200" i="9"/>
  <c r="J199" i="9"/>
  <c r="J196" i="9"/>
  <c r="J195" i="9"/>
  <c r="J194" i="9"/>
  <c r="J193" i="9"/>
  <c r="J192" i="9"/>
  <c r="J191" i="9"/>
  <c r="J190" i="9"/>
  <c r="J189" i="9"/>
  <c r="J188" i="9"/>
  <c r="J187" i="9"/>
  <c r="J186" i="9"/>
  <c r="J185" i="9"/>
  <c r="J184" i="9"/>
  <c r="J183" i="9"/>
  <c r="J182" i="9"/>
  <c r="J181" i="9"/>
  <c r="J180" i="9"/>
  <c r="J179" i="9"/>
  <c r="J178" i="9"/>
  <c r="J177" i="9"/>
  <c r="J176" i="9"/>
  <c r="J175" i="9"/>
  <c r="J174" i="9"/>
  <c r="J173" i="9"/>
  <c r="J172" i="9"/>
  <c r="J171" i="9"/>
  <c r="J170" i="9"/>
  <c r="J169" i="9"/>
  <c r="J167" i="9"/>
  <c r="J168" i="9"/>
  <c r="J166" i="9"/>
  <c r="J165" i="9"/>
  <c r="J164" i="9"/>
  <c r="J163" i="9"/>
  <c r="J162" i="9"/>
  <c r="J161" i="9"/>
  <c r="J160" i="9"/>
  <c r="J159" i="9"/>
  <c r="J158" i="9"/>
  <c r="J157" i="9"/>
  <c r="J156" i="9"/>
  <c r="J155" i="9"/>
  <c r="J154" i="9"/>
  <c r="J153" i="9"/>
  <c r="J152" i="9"/>
  <c r="J151" i="9"/>
  <c r="J150" i="9"/>
  <c r="J149" i="9"/>
  <c r="J148" i="9"/>
  <c r="J147" i="9"/>
  <c r="J146" i="9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1" i="9"/>
  <c r="J112" i="9"/>
  <c r="J110" i="9"/>
  <c r="J109" i="9"/>
  <c r="J108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C314" i="9"/>
  <c r="C313" i="9"/>
  <c r="C312" i="9"/>
  <c r="C311" i="9"/>
  <c r="C310" i="9"/>
  <c r="C309" i="9"/>
  <c r="C308" i="9"/>
  <c r="C307" i="9"/>
  <c r="C306" i="9"/>
  <c r="C305" i="9"/>
  <c r="C304" i="9"/>
  <c r="C303" i="9"/>
  <c r="C302" i="9"/>
  <c r="C301" i="9"/>
  <c r="C300" i="9"/>
  <c r="C299" i="9"/>
  <c r="C298" i="9"/>
  <c r="C297" i="9"/>
  <c r="C296" i="9"/>
  <c r="C295" i="9"/>
  <c r="C294" i="9"/>
  <c r="C293" i="9"/>
  <c r="C292" i="9"/>
  <c r="C291" i="9"/>
  <c r="C290" i="9"/>
  <c r="C289" i="9"/>
  <c r="C288" i="9"/>
  <c r="C287" i="9"/>
  <c r="C286" i="9"/>
  <c r="C285" i="9"/>
  <c r="C284" i="9"/>
  <c r="C283" i="9"/>
  <c r="C282" i="9"/>
  <c r="C281" i="9"/>
  <c r="C280" i="9"/>
  <c r="C279" i="9"/>
  <c r="C278" i="9"/>
  <c r="C277" i="9"/>
  <c r="C276" i="9"/>
  <c r="C275" i="9"/>
  <c r="C274" i="9"/>
  <c r="C273" i="9"/>
  <c r="C272" i="9"/>
  <c r="C271" i="9"/>
  <c r="C270" i="9"/>
  <c r="C269" i="9"/>
  <c r="C268" i="9"/>
  <c r="C266" i="9"/>
  <c r="C265" i="9"/>
  <c r="C264" i="9"/>
  <c r="C263" i="9"/>
  <c r="C262" i="9"/>
  <c r="C261" i="9"/>
  <c r="C260" i="9"/>
  <c r="C259" i="9"/>
  <c r="C258" i="9"/>
  <c r="C257" i="9"/>
  <c r="E28" i="31" s="1"/>
  <c r="C256" i="9"/>
  <c r="C255" i="9"/>
  <c r="C254" i="9"/>
  <c r="C252" i="9"/>
  <c r="C251" i="9"/>
  <c r="C250" i="9"/>
  <c r="C249" i="9"/>
  <c r="C248" i="9"/>
  <c r="C247" i="9"/>
  <c r="C246" i="9"/>
  <c r="C245" i="9"/>
  <c r="C244" i="9"/>
  <c r="C243" i="9"/>
  <c r="C242" i="9"/>
  <c r="C240" i="9"/>
  <c r="C239" i="9"/>
  <c r="C238" i="9"/>
  <c r="C237" i="9"/>
  <c r="C236" i="9"/>
  <c r="C235" i="9"/>
  <c r="C234" i="9"/>
  <c r="C232" i="9"/>
  <c r="C231" i="9"/>
  <c r="C230" i="9"/>
  <c r="C229" i="9"/>
  <c r="C228" i="9"/>
  <c r="C227" i="9"/>
  <c r="C226" i="9"/>
  <c r="C225" i="9"/>
  <c r="C224" i="9"/>
  <c r="C223" i="9"/>
  <c r="C222" i="9"/>
  <c r="C221" i="9"/>
  <c r="C220" i="9"/>
  <c r="C219" i="9"/>
  <c r="C218" i="9"/>
  <c r="C217" i="9"/>
  <c r="C216" i="9"/>
  <c r="C215" i="9"/>
  <c r="C214" i="9"/>
  <c r="C213" i="9"/>
  <c r="C212" i="9"/>
  <c r="C211" i="9"/>
  <c r="C210" i="9"/>
  <c r="C209" i="9"/>
  <c r="C208" i="9"/>
  <c r="C207" i="9"/>
  <c r="C206" i="9"/>
  <c r="C205" i="9"/>
  <c r="C204" i="9"/>
  <c r="C203" i="9"/>
  <c r="C202" i="9"/>
  <c r="C201" i="9"/>
  <c r="C200" i="9"/>
  <c r="C199" i="9"/>
  <c r="C196" i="9"/>
  <c r="C195" i="9"/>
  <c r="C194" i="9"/>
  <c r="C193" i="9"/>
  <c r="C192" i="9"/>
  <c r="C191" i="9"/>
  <c r="C190" i="9"/>
  <c r="C189" i="9"/>
  <c r="C188" i="9"/>
  <c r="C187" i="9"/>
  <c r="C186" i="9"/>
  <c r="C185" i="9"/>
  <c r="C184" i="9"/>
  <c r="C183" i="9"/>
  <c r="C182" i="9"/>
  <c r="C181" i="9"/>
  <c r="C180" i="9"/>
  <c r="C179" i="9"/>
  <c r="C178" i="9"/>
  <c r="C177" i="9"/>
  <c r="C176" i="9"/>
  <c r="C175" i="9"/>
  <c r="C174" i="9"/>
  <c r="C173" i="9"/>
  <c r="C172" i="9"/>
  <c r="C171" i="9"/>
  <c r="C170" i="9"/>
  <c r="C169" i="9"/>
  <c r="C167" i="9"/>
  <c r="C168" i="9"/>
  <c r="C166" i="9"/>
  <c r="C165" i="9"/>
  <c r="C164" i="9"/>
  <c r="C163" i="9"/>
  <c r="C162" i="9"/>
  <c r="C161" i="9"/>
  <c r="C160" i="9"/>
  <c r="C159" i="9"/>
  <c r="C158" i="9"/>
  <c r="C157" i="9"/>
  <c r="C156" i="9"/>
  <c r="C155" i="9"/>
  <c r="C154" i="9"/>
  <c r="C153" i="9"/>
  <c r="C152" i="9"/>
  <c r="C151" i="9"/>
  <c r="C150" i="9"/>
  <c r="C149" i="9"/>
  <c r="C148" i="9"/>
  <c r="C147" i="9"/>
  <c r="C146" i="9"/>
  <c r="C145" i="9"/>
  <c r="C144" i="9"/>
  <c r="C143" i="9"/>
  <c r="C142" i="9"/>
  <c r="C141" i="9"/>
  <c r="C140" i="9"/>
  <c r="C139" i="9"/>
  <c r="C138" i="9"/>
  <c r="C137" i="9"/>
  <c r="C136" i="9"/>
  <c r="C135" i="9"/>
  <c r="C134" i="9"/>
  <c r="C133" i="9"/>
  <c r="C132" i="9"/>
  <c r="C131" i="9"/>
  <c r="C130" i="9"/>
  <c r="C129" i="9"/>
  <c r="C128" i="9"/>
  <c r="C127" i="9"/>
  <c r="C126" i="9"/>
  <c r="C125" i="9"/>
  <c r="C124" i="9"/>
  <c r="C123" i="9"/>
  <c r="C122" i="9"/>
  <c r="C121" i="9"/>
  <c r="C120" i="9"/>
  <c r="C119" i="9"/>
  <c r="C118" i="9"/>
  <c r="C117" i="9"/>
  <c r="C116" i="9"/>
  <c r="C115" i="9"/>
  <c r="C114" i="9"/>
  <c r="C111" i="9"/>
  <c r="C110" i="9"/>
  <c r="C109" i="9"/>
  <c r="C108" i="9"/>
  <c r="C105" i="9"/>
  <c r="C104" i="9"/>
  <c r="C103" i="9"/>
  <c r="C102" i="9"/>
  <c r="C101" i="9"/>
  <c r="C100" i="9"/>
  <c r="C99" i="9"/>
  <c r="C98" i="9"/>
  <c r="C97" i="9"/>
  <c r="C96" i="9"/>
  <c r="C95" i="9"/>
  <c r="C94" i="9"/>
  <c r="C93" i="9"/>
  <c r="C92" i="9"/>
  <c r="C91" i="9"/>
  <c r="C90" i="9"/>
  <c r="C89" i="9"/>
  <c r="C88" i="9"/>
  <c r="C87" i="9"/>
  <c r="C86" i="9"/>
  <c r="C85" i="9"/>
  <c r="C84" i="9"/>
  <c r="C83" i="9"/>
  <c r="C82" i="9"/>
  <c r="C81" i="9"/>
  <c r="C80" i="9"/>
  <c r="C79" i="9"/>
  <c r="C78" i="9"/>
  <c r="C77" i="9"/>
  <c r="C76" i="9"/>
  <c r="C75" i="9"/>
  <c r="C74" i="9"/>
  <c r="C73" i="9"/>
  <c r="C72" i="9"/>
  <c r="C71" i="9"/>
  <c r="C70" i="9"/>
  <c r="C69" i="9"/>
  <c r="C68" i="9"/>
  <c r="C67" i="9"/>
  <c r="C66" i="9"/>
  <c r="C65" i="9"/>
  <c r="C64" i="9"/>
  <c r="C63" i="9"/>
  <c r="C62" i="9"/>
  <c r="C61" i="9"/>
  <c r="C60" i="9"/>
  <c r="C59" i="9"/>
  <c r="C58" i="9"/>
  <c r="C57" i="9"/>
  <c r="C56" i="9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0" i="9"/>
  <c r="C19" i="9"/>
  <c r="C18" i="9"/>
  <c r="C17" i="9"/>
  <c r="C16" i="9"/>
  <c r="C15" i="9"/>
  <c r="C14" i="9"/>
  <c r="C13" i="9"/>
  <c r="C12" i="9"/>
  <c r="C11" i="9"/>
  <c r="F193" i="8"/>
  <c r="F194" i="8"/>
  <c r="F195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P10" i="13"/>
  <c r="P23" i="13"/>
  <c r="P35" i="13"/>
  <c r="P22" i="13"/>
  <c r="H18" i="11"/>
  <c r="N13" i="13"/>
  <c r="L13" i="13"/>
  <c r="AA320" i="22"/>
  <c r="E53" i="31" l="1"/>
  <c r="E33" i="31"/>
  <c r="E116" i="31"/>
  <c r="E58" i="31"/>
  <c r="E59" i="31"/>
  <c r="E60" i="31"/>
  <c r="E52" i="31"/>
  <c r="E54" i="31"/>
  <c r="K327" i="10"/>
  <c r="K327" i="9"/>
  <c r="H193" i="18"/>
  <c r="I193" i="18" s="1"/>
  <c r="AC103" i="22"/>
  <c r="P106" i="9" s="1"/>
  <c r="Q106" i="9" s="1"/>
  <c r="L101" i="18"/>
  <c r="T26" i="13"/>
  <c r="L5" i="18"/>
  <c r="C8" i="22" s="1"/>
  <c r="AL8" i="22" s="1"/>
  <c r="L306" i="18"/>
  <c r="L192" i="18"/>
  <c r="N327" i="10"/>
  <c r="L327" i="10"/>
  <c r="M327" i="10"/>
  <c r="O327" i="10"/>
  <c r="C320" i="29"/>
  <c r="D320" i="29"/>
  <c r="E320" i="29"/>
  <c r="I192" i="18"/>
  <c r="C313" i="18"/>
  <c r="Y39" i="13"/>
  <c r="E327" i="9"/>
  <c r="P39" i="13"/>
  <c r="R39" i="13" s="1"/>
  <c r="C327" i="9"/>
  <c r="I327" i="9"/>
  <c r="G7" i="18"/>
  <c r="H7" i="18" s="1"/>
  <c r="AC10" i="22" s="1"/>
  <c r="G310" i="18"/>
  <c r="H310" i="18" s="1"/>
  <c r="AC313" i="22" s="1"/>
  <c r="G309" i="18"/>
  <c r="H309" i="18" s="1"/>
  <c r="AC311" i="22" s="1"/>
  <c r="G6" i="18"/>
  <c r="H6" i="18" s="1"/>
  <c r="AC9" i="22" s="1"/>
  <c r="J327" i="9"/>
  <c r="D327" i="9"/>
  <c r="AE36" i="13"/>
  <c r="G236" i="18"/>
  <c r="H236" i="18" s="1"/>
  <c r="AC239" i="22" s="1"/>
  <c r="AE24" i="13"/>
  <c r="G10" i="18"/>
  <c r="H10" i="18" s="1"/>
  <c r="AC13" i="22" s="1"/>
  <c r="G293" i="18"/>
  <c r="H293" i="18" s="1"/>
  <c r="AC296" i="22" s="1"/>
  <c r="E313" i="18"/>
  <c r="G121" i="18"/>
  <c r="H121" i="18" s="1"/>
  <c r="AC123" i="22" s="1"/>
  <c r="G30" i="18"/>
  <c r="H30" i="18" s="1"/>
  <c r="AC32" i="22" s="1"/>
  <c r="G187" i="18"/>
  <c r="H187" i="18" s="1"/>
  <c r="AC189" i="22" s="1"/>
  <c r="M192" i="18" l="1"/>
  <c r="C193" i="22"/>
  <c r="AL193" i="22" s="1"/>
  <c r="Q196" i="10" s="1"/>
  <c r="M306" i="18"/>
  <c r="C308" i="22"/>
  <c r="AL308" i="22" s="1"/>
  <c r="Q311" i="10" s="1"/>
  <c r="M101" i="18"/>
  <c r="C103" i="22"/>
  <c r="AL103" i="22" s="1"/>
  <c r="Q106" i="10" s="1"/>
  <c r="C106" i="10" s="1"/>
  <c r="AC195" i="22"/>
  <c r="L193" i="18"/>
  <c r="P13" i="13"/>
  <c r="L310" i="18"/>
  <c r="L311" i="18"/>
  <c r="M311" i="18" s="1"/>
  <c r="N311" i="18" s="1"/>
  <c r="O311" i="18" s="1"/>
  <c r="L30" i="18"/>
  <c r="L187" i="18"/>
  <c r="L121" i="18"/>
  <c r="L7" i="18"/>
  <c r="L293" i="18"/>
  <c r="L10" i="18"/>
  <c r="P241" i="9"/>
  <c r="L236" i="18"/>
  <c r="L6" i="18"/>
  <c r="L309" i="18"/>
  <c r="M5" i="18"/>
  <c r="D8" i="22" s="1"/>
  <c r="AM8" i="22" s="1"/>
  <c r="Q10" i="10"/>
  <c r="Y41" i="13"/>
  <c r="I5" i="18"/>
  <c r="P10" i="9"/>
  <c r="AE10" i="13"/>
  <c r="AE23" i="13"/>
  <c r="AE6" i="13"/>
  <c r="AE22" i="13"/>
  <c r="I306" i="18"/>
  <c r="G221" i="18"/>
  <c r="H221" i="18" s="1"/>
  <c r="AC224" i="22" s="1"/>
  <c r="G56" i="18"/>
  <c r="H56" i="18" s="1"/>
  <c r="AC58" i="22" s="1"/>
  <c r="G206" i="18"/>
  <c r="H206" i="18" s="1"/>
  <c r="AC208" i="22" s="1"/>
  <c r="G130" i="18"/>
  <c r="H130" i="18" s="1"/>
  <c r="AC132" i="22" s="1"/>
  <c r="G157" i="18"/>
  <c r="H157" i="18" s="1"/>
  <c r="AC159" i="22" s="1"/>
  <c r="G95" i="18"/>
  <c r="H95" i="18" s="1"/>
  <c r="AC97" i="22" s="1"/>
  <c r="G200" i="18"/>
  <c r="H200" i="18" s="1"/>
  <c r="AC203" i="22" s="1"/>
  <c r="G296" i="18"/>
  <c r="H296" i="18" s="1"/>
  <c r="AC299" i="22" s="1"/>
  <c r="G91" i="18"/>
  <c r="H91" i="18" s="1"/>
  <c r="AC93" i="22" s="1"/>
  <c r="G165" i="18"/>
  <c r="H165" i="18" s="1"/>
  <c r="AC167" i="22" s="1"/>
  <c r="G250" i="18"/>
  <c r="H250" i="18" s="1"/>
  <c r="AC253" i="22" s="1"/>
  <c r="G141" i="18"/>
  <c r="H141" i="18" s="1"/>
  <c r="AC144" i="22" s="1"/>
  <c r="G105" i="18"/>
  <c r="H105" i="18" s="1"/>
  <c r="AC107" i="22" s="1"/>
  <c r="G241" i="18"/>
  <c r="H241" i="18" s="1"/>
  <c r="AC244" i="22" s="1"/>
  <c r="G47" i="18"/>
  <c r="H47" i="18" s="1"/>
  <c r="AC49" i="22" s="1"/>
  <c r="G9" i="18"/>
  <c r="H9" i="18" s="1"/>
  <c r="AC12" i="22" s="1"/>
  <c r="G62" i="18"/>
  <c r="H62" i="18" s="1"/>
  <c r="AC64" i="22" s="1"/>
  <c r="G148" i="18"/>
  <c r="H148" i="18" s="1"/>
  <c r="AC151" i="22" s="1"/>
  <c r="G153" i="18"/>
  <c r="H153" i="18" s="1"/>
  <c r="AC156" i="22" s="1"/>
  <c r="G255" i="18"/>
  <c r="H255" i="18" s="1"/>
  <c r="AC258" i="22" s="1"/>
  <c r="G176" i="18"/>
  <c r="H176" i="18" s="1"/>
  <c r="AC178" i="22" s="1"/>
  <c r="G179" i="18"/>
  <c r="H179" i="18" s="1"/>
  <c r="AC181" i="22" s="1"/>
  <c r="G24" i="18"/>
  <c r="H24" i="18" s="1"/>
  <c r="AC26" i="22" s="1"/>
  <c r="G51" i="18"/>
  <c r="H51" i="18" s="1"/>
  <c r="AC53" i="22" s="1"/>
  <c r="G120" i="18"/>
  <c r="H120" i="18" s="1"/>
  <c r="AC122" i="22" s="1"/>
  <c r="G53" i="18"/>
  <c r="H53" i="18" s="1"/>
  <c r="AC55" i="22" s="1"/>
  <c r="G164" i="18"/>
  <c r="H164" i="18" s="1"/>
  <c r="AC166" i="22" s="1"/>
  <c r="G64" i="18"/>
  <c r="H64" i="18" s="1"/>
  <c r="AC66" i="22" s="1"/>
  <c r="G46" i="18"/>
  <c r="H46" i="18" s="1"/>
  <c r="AC48" i="22" s="1"/>
  <c r="G66" i="18"/>
  <c r="H66" i="18" s="1"/>
  <c r="AC68" i="22" s="1"/>
  <c r="G166" i="18"/>
  <c r="H166" i="18" s="1"/>
  <c r="AC168" i="22" s="1"/>
  <c r="G144" i="18"/>
  <c r="H144" i="18" s="1"/>
  <c r="AC147" i="22" s="1"/>
  <c r="G246" i="18"/>
  <c r="H246" i="18" s="1"/>
  <c r="AC249" i="22" s="1"/>
  <c r="G218" i="18"/>
  <c r="H218" i="18" s="1"/>
  <c r="AC221" i="22" s="1"/>
  <c r="G288" i="18"/>
  <c r="H288" i="18" s="1"/>
  <c r="AC291" i="22" s="1"/>
  <c r="G298" i="18"/>
  <c r="H298" i="18" s="1"/>
  <c r="AC301" i="22" s="1"/>
  <c r="G280" i="18"/>
  <c r="H280" i="18" s="1"/>
  <c r="AC283" i="22" s="1"/>
  <c r="G225" i="18"/>
  <c r="H225" i="18" s="1"/>
  <c r="AC228" i="22" s="1"/>
  <c r="G301" i="18"/>
  <c r="H301" i="18" s="1"/>
  <c r="AC304" i="22" s="1"/>
  <c r="G267" i="18"/>
  <c r="H267" i="18" s="1"/>
  <c r="AC270" i="22" s="1"/>
  <c r="G290" i="18"/>
  <c r="H290" i="18" s="1"/>
  <c r="AC293" i="22" s="1"/>
  <c r="G60" i="18"/>
  <c r="H60" i="18" s="1"/>
  <c r="AC62" i="22" s="1"/>
  <c r="G233" i="18"/>
  <c r="H233" i="18" s="1"/>
  <c r="AC236" i="22" s="1"/>
  <c r="G207" i="18"/>
  <c r="H207" i="18" s="1"/>
  <c r="AC209" i="22" s="1"/>
  <c r="G135" i="18"/>
  <c r="H135" i="18" s="1"/>
  <c r="AC137" i="22" s="1"/>
  <c r="G268" i="18"/>
  <c r="H268" i="18" s="1"/>
  <c r="AC271" i="22" s="1"/>
  <c r="G128" i="18"/>
  <c r="H128" i="18" s="1"/>
  <c r="AC130" i="22" s="1"/>
  <c r="G37" i="18"/>
  <c r="H37" i="18" s="1"/>
  <c r="AC39" i="22" s="1"/>
  <c r="G102" i="18"/>
  <c r="H102" i="18" s="1"/>
  <c r="AC104" i="22" s="1"/>
  <c r="G13" i="18"/>
  <c r="H13" i="18" s="1"/>
  <c r="AC139" i="22" s="1"/>
  <c r="G202" i="18"/>
  <c r="H202" i="18" s="1"/>
  <c r="AC205" i="22" s="1"/>
  <c r="G49" i="18"/>
  <c r="H49" i="18" s="1"/>
  <c r="AC51" i="22" s="1"/>
  <c r="G127" i="18"/>
  <c r="H127" i="18" s="1"/>
  <c r="AC129" i="22" s="1"/>
  <c r="G210" i="18"/>
  <c r="H210" i="18" s="1"/>
  <c r="AC213" i="22" s="1"/>
  <c r="G155" i="18"/>
  <c r="H155" i="18" s="1"/>
  <c r="AC157" i="22" s="1"/>
  <c r="G52" i="18"/>
  <c r="H52" i="18" s="1"/>
  <c r="AC54" i="22" s="1"/>
  <c r="G261" i="18"/>
  <c r="H261" i="18" s="1"/>
  <c r="AC264" i="22" s="1"/>
  <c r="G174" i="18"/>
  <c r="H174" i="18" s="1"/>
  <c r="AC176" i="22" s="1"/>
  <c r="G269" i="18"/>
  <c r="H269" i="18" s="1"/>
  <c r="AC272" i="22" s="1"/>
  <c r="G307" i="18"/>
  <c r="H307" i="18" s="1"/>
  <c r="AC309" i="22" s="1"/>
  <c r="G33" i="18"/>
  <c r="H33" i="18" s="1"/>
  <c r="AC35" i="22" s="1"/>
  <c r="G72" i="18"/>
  <c r="H72" i="18" s="1"/>
  <c r="AC74" i="22" s="1"/>
  <c r="G205" i="18"/>
  <c r="H205" i="18" s="1"/>
  <c r="AC211" i="22" s="1"/>
  <c r="G281" i="18"/>
  <c r="H281" i="18" s="1"/>
  <c r="AC284" i="22" s="1"/>
  <c r="G196" i="18"/>
  <c r="H196" i="18" s="1"/>
  <c r="AC199" i="22" s="1"/>
  <c r="G98" i="18"/>
  <c r="H98" i="18" s="1"/>
  <c r="AC100" i="22" s="1"/>
  <c r="G234" i="18"/>
  <c r="H234" i="18" s="1"/>
  <c r="AC237" i="22" s="1"/>
  <c r="G188" i="18"/>
  <c r="H188" i="18" s="1"/>
  <c r="AC190" i="22" s="1"/>
  <c r="G260" i="18"/>
  <c r="H260" i="18" s="1"/>
  <c r="AC263" i="22" s="1"/>
  <c r="G270" i="18"/>
  <c r="H270" i="18" s="1"/>
  <c r="AC273" i="22" s="1"/>
  <c r="G242" i="18"/>
  <c r="H242" i="18" s="1"/>
  <c r="AC245" i="22" s="1"/>
  <c r="G204" i="18"/>
  <c r="H204" i="18" s="1"/>
  <c r="AC207" i="22" s="1"/>
  <c r="G232" i="18"/>
  <c r="H232" i="18" s="1"/>
  <c r="AC235" i="22" s="1"/>
  <c r="G92" i="18"/>
  <c r="H92" i="18" s="1"/>
  <c r="AC94" i="22" s="1"/>
  <c r="G247" i="18"/>
  <c r="H247" i="18" s="1"/>
  <c r="AC250" i="22" s="1"/>
  <c r="G168" i="18"/>
  <c r="H168" i="18" s="1"/>
  <c r="AC170" i="22" s="1"/>
  <c r="G308" i="18"/>
  <c r="H308" i="18" s="1"/>
  <c r="AC310" i="22" s="1"/>
  <c r="G89" i="18"/>
  <c r="H89" i="18" s="1"/>
  <c r="AC91" i="22" s="1"/>
  <c r="G134" i="18"/>
  <c r="H134" i="18" s="1"/>
  <c r="AC136" i="22" s="1"/>
  <c r="G235" i="18"/>
  <c r="H235" i="18" s="1"/>
  <c r="AC238" i="22" s="1"/>
  <c r="G231" i="18"/>
  <c r="H231" i="18" s="1"/>
  <c r="AC234" i="22" s="1"/>
  <c r="G96" i="18"/>
  <c r="H96" i="18" s="1"/>
  <c r="AC98" i="22" s="1"/>
  <c r="G211" i="18"/>
  <c r="H211" i="18" s="1"/>
  <c r="AC214" i="22" s="1"/>
  <c r="G304" i="18"/>
  <c r="H304" i="18" s="1"/>
  <c r="AC307" i="22" s="1"/>
  <c r="G142" i="18"/>
  <c r="H142" i="18" s="1"/>
  <c r="AC145" i="22" s="1"/>
  <c r="G173" i="18"/>
  <c r="H173" i="18" s="1"/>
  <c r="AC175" i="22" s="1"/>
  <c r="G276" i="18"/>
  <c r="H276" i="18" s="1"/>
  <c r="AC279" i="22" s="1"/>
  <c r="G245" i="18"/>
  <c r="H245" i="18" s="1"/>
  <c r="AC248" i="22" s="1"/>
  <c r="G259" i="18"/>
  <c r="H259" i="18" s="1"/>
  <c r="AC262" i="22" s="1"/>
  <c r="G36" i="18"/>
  <c r="H36" i="18" s="1"/>
  <c r="AC38" i="22" s="1"/>
  <c r="G275" i="18"/>
  <c r="H275" i="18" s="1"/>
  <c r="AC278" i="22" s="1"/>
  <c r="G158" i="18"/>
  <c r="H158" i="18" s="1"/>
  <c r="AC160" i="22" s="1"/>
  <c r="G191" i="18"/>
  <c r="H191" i="18" s="1"/>
  <c r="AC192" i="22" s="1"/>
  <c r="G150" i="18"/>
  <c r="H150" i="18" s="1"/>
  <c r="AC153" i="22" s="1"/>
  <c r="G190" i="18"/>
  <c r="H190" i="18" s="1"/>
  <c r="AC191" i="22" s="1"/>
  <c r="G159" i="18"/>
  <c r="H159" i="18" s="1"/>
  <c r="AC161" i="22" s="1"/>
  <c r="G29" i="18"/>
  <c r="H29" i="18" s="1"/>
  <c r="AC31" i="22" s="1"/>
  <c r="G136" i="18"/>
  <c r="H136" i="18" s="1"/>
  <c r="AC138" i="22" s="1"/>
  <c r="G71" i="18"/>
  <c r="H71" i="18" s="1"/>
  <c r="AC73" i="22" s="1"/>
  <c r="G106" i="18"/>
  <c r="H106" i="18" s="1"/>
  <c r="AC108" i="22" s="1"/>
  <c r="G109" i="18"/>
  <c r="H109" i="18" s="1"/>
  <c r="AC111" i="22" s="1"/>
  <c r="G171" i="18"/>
  <c r="H171" i="18" s="1"/>
  <c r="AC173" i="22" s="1"/>
  <c r="G21" i="18"/>
  <c r="H21" i="18" s="1"/>
  <c r="AC23" i="22" s="1"/>
  <c r="G81" i="18"/>
  <c r="H81" i="18" s="1"/>
  <c r="AC83" i="22" s="1"/>
  <c r="G110" i="18"/>
  <c r="H110" i="18" s="1"/>
  <c r="AC112" i="22" s="1"/>
  <c r="G97" i="18"/>
  <c r="H97" i="18" s="1"/>
  <c r="AC99" i="22" s="1"/>
  <c r="G201" i="18"/>
  <c r="H201" i="18" s="1"/>
  <c r="AC204" i="22" s="1"/>
  <c r="G272" i="18"/>
  <c r="H272" i="18" s="1"/>
  <c r="AC275" i="22" s="1"/>
  <c r="G162" i="18"/>
  <c r="H162" i="18" s="1"/>
  <c r="AC165" i="22" s="1"/>
  <c r="G282" i="18"/>
  <c r="H282" i="18" s="1"/>
  <c r="AC285" i="22" s="1"/>
  <c r="G65" i="18"/>
  <c r="H65" i="18" s="1"/>
  <c r="AC67" i="22" s="1"/>
  <c r="G67" i="18"/>
  <c r="H67" i="18" s="1"/>
  <c r="AC69" i="22" s="1"/>
  <c r="G222" i="18"/>
  <c r="H222" i="18" s="1"/>
  <c r="AC225" i="22" s="1"/>
  <c r="G87" i="18"/>
  <c r="H87" i="18" s="1"/>
  <c r="AC89" i="22" s="1"/>
  <c r="G186" i="18"/>
  <c r="H186" i="18" s="1"/>
  <c r="AC188" i="22" s="1"/>
  <c r="G137" i="18"/>
  <c r="H137" i="18" s="1"/>
  <c r="AC140" i="22" s="1"/>
  <c r="G99" i="18"/>
  <c r="H99" i="18" s="1"/>
  <c r="AC101" i="22" s="1"/>
  <c r="G129" i="18"/>
  <c r="H129" i="18" s="1"/>
  <c r="AC131" i="22" s="1"/>
  <c r="G143" i="18"/>
  <c r="H143" i="18" s="1"/>
  <c r="AC146" i="22" s="1"/>
  <c r="G185" i="18"/>
  <c r="H185" i="18" s="1"/>
  <c r="AC187" i="22" s="1"/>
  <c r="G85" i="18"/>
  <c r="H85" i="18" s="1"/>
  <c r="AC87" i="22" s="1"/>
  <c r="G115" i="18"/>
  <c r="H115" i="18" s="1"/>
  <c r="AC117" i="22" s="1"/>
  <c r="G146" i="18"/>
  <c r="H146" i="18" s="1"/>
  <c r="AC149" i="22" s="1"/>
  <c r="G22" i="18"/>
  <c r="H22" i="18" s="1"/>
  <c r="AC24" i="22" s="1"/>
  <c r="G264" i="18"/>
  <c r="H264" i="18" s="1"/>
  <c r="AC267" i="22" s="1"/>
  <c r="G140" i="18"/>
  <c r="H140" i="18" s="1"/>
  <c r="AC143" i="22" s="1"/>
  <c r="G244" i="18"/>
  <c r="H244" i="18" s="1"/>
  <c r="AC247" i="22" s="1"/>
  <c r="G119" i="18"/>
  <c r="H119" i="18" s="1"/>
  <c r="AC121" i="22" s="1"/>
  <c r="G287" i="18"/>
  <c r="H287" i="18" s="1"/>
  <c r="AC290" i="22" s="1"/>
  <c r="G126" i="18"/>
  <c r="H126" i="18" s="1"/>
  <c r="AC128" i="22" s="1"/>
  <c r="G263" i="18"/>
  <c r="H263" i="18" s="1"/>
  <c r="AC266" i="22" s="1"/>
  <c r="G88" i="18"/>
  <c r="H88" i="18" s="1"/>
  <c r="AC90" i="22" s="1"/>
  <c r="G198" i="18"/>
  <c r="H198" i="18" s="1"/>
  <c r="AC201" i="22" s="1"/>
  <c r="G299" i="18"/>
  <c r="H299" i="18" s="1"/>
  <c r="AC302" i="22" s="1"/>
  <c r="G178" i="18"/>
  <c r="H178" i="18" s="1"/>
  <c r="AC180" i="22" s="1"/>
  <c r="G213" i="18"/>
  <c r="H213" i="18" s="1"/>
  <c r="AC216" i="22" s="1"/>
  <c r="G238" i="18"/>
  <c r="H238" i="18" s="1"/>
  <c r="AC241" i="22" s="1"/>
  <c r="G227" i="18"/>
  <c r="H227" i="18" s="1"/>
  <c r="AC230" i="22" s="1"/>
  <c r="G199" i="18"/>
  <c r="H199" i="18" s="1"/>
  <c r="AC202" i="22" s="1"/>
  <c r="G117" i="18"/>
  <c r="H117" i="18" s="1"/>
  <c r="AC119" i="22" s="1"/>
  <c r="G61" i="18"/>
  <c r="H61" i="18" s="1"/>
  <c r="AC63" i="22" s="1"/>
  <c r="G70" i="18"/>
  <c r="H70" i="18" s="1"/>
  <c r="AC72" i="22" s="1"/>
  <c r="G131" i="18"/>
  <c r="H131" i="18" s="1"/>
  <c r="AC133" i="22" s="1"/>
  <c r="G181" i="18"/>
  <c r="H181" i="18" s="1"/>
  <c r="AC183" i="22" s="1"/>
  <c r="G169" i="18"/>
  <c r="H169" i="18" s="1"/>
  <c r="AC171" i="22" s="1"/>
  <c r="G217" i="18"/>
  <c r="H217" i="18" s="1"/>
  <c r="AC220" i="22" s="1"/>
  <c r="G277" i="18"/>
  <c r="H277" i="18" s="1"/>
  <c r="AC280" i="22" s="1"/>
  <c r="G40" i="18"/>
  <c r="H40" i="18" s="1"/>
  <c r="AC42" i="22" s="1"/>
  <c r="G133" i="18"/>
  <c r="H133" i="18" s="1"/>
  <c r="AC135" i="22" s="1"/>
  <c r="G226" i="18"/>
  <c r="H226" i="18" s="1"/>
  <c r="AC229" i="22" s="1"/>
  <c r="G112" i="18"/>
  <c r="H112" i="18" s="1"/>
  <c r="AC114" i="22" s="1"/>
  <c r="G26" i="18"/>
  <c r="H26" i="18" s="1"/>
  <c r="AC28" i="22" s="1"/>
  <c r="G248" i="18"/>
  <c r="H248" i="18" s="1"/>
  <c r="AC251" i="22" s="1"/>
  <c r="G215" i="18"/>
  <c r="H215" i="18" s="1"/>
  <c r="AC218" i="22" s="1"/>
  <c r="G111" i="18"/>
  <c r="H111" i="18" s="1"/>
  <c r="AC113" i="22" s="1"/>
  <c r="G123" i="18"/>
  <c r="H123" i="18" s="1"/>
  <c r="AC125" i="22" s="1"/>
  <c r="G108" i="18"/>
  <c r="H108" i="18" s="1"/>
  <c r="AC110" i="22" s="1"/>
  <c r="G279" i="18"/>
  <c r="H279" i="18" s="1"/>
  <c r="AC282" i="22" s="1"/>
  <c r="G23" i="18"/>
  <c r="H23" i="18" s="1"/>
  <c r="AC25" i="22" s="1"/>
  <c r="G161" i="18"/>
  <c r="H161" i="18" s="1"/>
  <c r="AC163" i="22" s="1"/>
  <c r="G271" i="18"/>
  <c r="H271" i="18" s="1"/>
  <c r="AC274" i="22" s="1"/>
  <c r="G212" i="18"/>
  <c r="H212" i="18" s="1"/>
  <c r="AC215" i="22" s="1"/>
  <c r="G197" i="18"/>
  <c r="H197" i="18" s="1"/>
  <c r="AC200" i="22" s="1"/>
  <c r="G286" i="18"/>
  <c r="H286" i="18" s="1"/>
  <c r="AC289" i="22" s="1"/>
  <c r="G273" i="18"/>
  <c r="H273" i="18" s="1"/>
  <c r="AC276" i="22" s="1"/>
  <c r="G240" i="18"/>
  <c r="H240" i="18" s="1"/>
  <c r="AC243" i="22" s="1"/>
  <c r="G167" i="18"/>
  <c r="H167" i="18" s="1"/>
  <c r="AC169" i="22" s="1"/>
  <c r="G145" i="18"/>
  <c r="H145" i="18" s="1"/>
  <c r="AC148" i="22" s="1"/>
  <c r="G138" i="18"/>
  <c r="H138" i="18" s="1"/>
  <c r="AC141" i="22" s="1"/>
  <c r="G28" i="18"/>
  <c r="H28" i="18" s="1"/>
  <c r="AC30" i="22" s="1"/>
  <c r="G249" i="18"/>
  <c r="H249" i="18" s="1"/>
  <c r="AC252" i="22" s="1"/>
  <c r="G163" i="18"/>
  <c r="H163" i="18" s="1"/>
  <c r="AC164" i="22" s="1"/>
  <c r="G253" i="18"/>
  <c r="H253" i="18" s="1"/>
  <c r="AC256" i="22" s="1"/>
  <c r="G219" i="18"/>
  <c r="H219" i="18" s="1"/>
  <c r="AC222" i="22" s="1"/>
  <c r="G31" i="18"/>
  <c r="H31" i="18" s="1"/>
  <c r="AC33" i="22" s="1"/>
  <c r="G297" i="18"/>
  <c r="H297" i="18" s="1"/>
  <c r="AC300" i="22" s="1"/>
  <c r="G266" i="18"/>
  <c r="H266" i="18" s="1"/>
  <c r="AC269" i="22" s="1"/>
  <c r="G305" i="18"/>
  <c r="H305" i="18" s="1"/>
  <c r="AC312" i="22" s="1"/>
  <c r="G83" i="18"/>
  <c r="H83" i="18" s="1"/>
  <c r="AC85" i="22" s="1"/>
  <c r="G256" i="18"/>
  <c r="H256" i="18" s="1"/>
  <c r="AC259" i="22" s="1"/>
  <c r="G170" i="18"/>
  <c r="H170" i="18" s="1"/>
  <c r="AC172" i="22" s="1"/>
  <c r="G189" i="18"/>
  <c r="H189" i="18" s="1"/>
  <c r="AC194" i="22" s="1"/>
  <c r="G77" i="18"/>
  <c r="H77" i="18" s="1"/>
  <c r="AC79" i="22" s="1"/>
  <c r="G237" i="18"/>
  <c r="H237" i="18" s="1"/>
  <c r="AC240" i="22" s="1"/>
  <c r="G55" i="18"/>
  <c r="H55" i="18" s="1"/>
  <c r="AC57" i="22" s="1"/>
  <c r="G294" i="18"/>
  <c r="H294" i="18" s="1"/>
  <c r="AC297" i="22" s="1"/>
  <c r="G132" i="18"/>
  <c r="H132" i="18" s="1"/>
  <c r="AC134" i="22" s="1"/>
  <c r="G243" i="18"/>
  <c r="H243" i="18" s="1"/>
  <c r="AC246" i="22" s="1"/>
  <c r="G216" i="18"/>
  <c r="H216" i="18" s="1"/>
  <c r="AC219" i="22" s="1"/>
  <c r="G274" i="18"/>
  <c r="H274" i="18" s="1"/>
  <c r="AC277" i="22" s="1"/>
  <c r="G257" i="18"/>
  <c r="H257" i="18" s="1"/>
  <c r="AC260" i="22" s="1"/>
  <c r="G17" i="18"/>
  <c r="H17" i="18" s="1"/>
  <c r="AC19" i="22" s="1"/>
  <c r="G63" i="18"/>
  <c r="H63" i="18" s="1"/>
  <c r="AC65" i="22" s="1"/>
  <c r="G229" i="18"/>
  <c r="H229" i="18" s="1"/>
  <c r="AC232" i="22" s="1"/>
  <c r="G82" i="18"/>
  <c r="H82" i="18" s="1"/>
  <c r="AC84" i="22" s="1"/>
  <c r="G208" i="18"/>
  <c r="H208" i="18" s="1"/>
  <c r="AC210" i="22" s="1"/>
  <c r="G139" i="18"/>
  <c r="H139" i="18" s="1"/>
  <c r="AC142" i="22" s="1"/>
  <c r="G220" i="18"/>
  <c r="H220" i="18" s="1"/>
  <c r="AC223" i="22" s="1"/>
  <c r="G32" i="18"/>
  <c r="H32" i="18" s="1"/>
  <c r="AC34" i="22" s="1"/>
  <c r="G34" i="18"/>
  <c r="H34" i="18" s="1"/>
  <c r="AC36" i="22" s="1"/>
  <c r="G78" i="18"/>
  <c r="H78" i="18" s="1"/>
  <c r="AC80" i="22" s="1"/>
  <c r="G302" i="18"/>
  <c r="H302" i="18" s="1"/>
  <c r="AC305" i="22" s="1"/>
  <c r="G45" i="18"/>
  <c r="H45" i="18" s="1"/>
  <c r="AC47" i="22" s="1"/>
  <c r="G43" i="18"/>
  <c r="H43" i="18" s="1"/>
  <c r="AC45" i="22" s="1"/>
  <c r="G54" i="18"/>
  <c r="H54" i="18" s="1"/>
  <c r="AC56" i="22" s="1"/>
  <c r="G254" i="18"/>
  <c r="H254" i="18" s="1"/>
  <c r="AC257" i="22" s="1"/>
  <c r="G149" i="18"/>
  <c r="H149" i="18" s="1"/>
  <c r="AC152" i="22" s="1"/>
  <c r="G50" i="18"/>
  <c r="H50" i="18" s="1"/>
  <c r="AC52" i="22" s="1"/>
  <c r="G291" i="18"/>
  <c r="H291" i="18" s="1"/>
  <c r="AC294" i="22" s="1"/>
  <c r="G125" i="18"/>
  <c r="H125" i="18" s="1"/>
  <c r="AC127" i="22" s="1"/>
  <c r="G80" i="18"/>
  <c r="H80" i="18" s="1"/>
  <c r="AC82" i="22" s="1"/>
  <c r="G14" i="18"/>
  <c r="H14" i="18" s="1"/>
  <c r="AC16" i="22" s="1"/>
  <c r="G265" i="18"/>
  <c r="H265" i="18" s="1"/>
  <c r="AC268" i="22" s="1"/>
  <c r="G68" i="18"/>
  <c r="H68" i="18" s="1"/>
  <c r="AC70" i="22" s="1"/>
  <c r="G118" i="18"/>
  <c r="H118" i="18" s="1"/>
  <c r="AC120" i="22" s="1"/>
  <c r="G103" i="18"/>
  <c r="H103" i="18" s="1"/>
  <c r="AC105" i="22" s="1"/>
  <c r="G300" i="18"/>
  <c r="H300" i="18" s="1"/>
  <c r="AC303" i="22" s="1"/>
  <c r="G114" i="18"/>
  <c r="H114" i="18" s="1"/>
  <c r="AC116" i="22" s="1"/>
  <c r="G182" i="18"/>
  <c r="H182" i="18" s="1"/>
  <c r="AC184" i="22" s="1"/>
  <c r="G18" i="18"/>
  <c r="H18" i="18" s="1"/>
  <c r="AC20" i="22" s="1"/>
  <c r="G239" i="18"/>
  <c r="H239" i="18" s="1"/>
  <c r="AC242" i="22" s="1"/>
  <c r="G180" i="18"/>
  <c r="H180" i="18" s="1"/>
  <c r="AC182" i="22" s="1"/>
  <c r="G195" i="18"/>
  <c r="H195" i="18" s="1"/>
  <c r="AC197" i="22" s="1"/>
  <c r="G8" i="18"/>
  <c r="H8" i="18" s="1"/>
  <c r="AC11" i="22" s="1"/>
  <c r="G283" i="18"/>
  <c r="H283" i="18" s="1"/>
  <c r="AC286" i="22" s="1"/>
  <c r="G104" i="18"/>
  <c r="H104" i="18" s="1"/>
  <c r="AC106" i="22" s="1"/>
  <c r="G228" i="18"/>
  <c r="H228" i="18" s="1"/>
  <c r="AC231" i="22" s="1"/>
  <c r="G58" i="18"/>
  <c r="H58" i="18" s="1"/>
  <c r="AC60" i="22" s="1"/>
  <c r="G224" i="18"/>
  <c r="H224" i="18" s="1"/>
  <c r="AC227" i="22" s="1"/>
  <c r="G151" i="18"/>
  <c r="H151" i="18" s="1"/>
  <c r="AC154" i="22" s="1"/>
  <c r="G183" i="18"/>
  <c r="H183" i="18" s="1"/>
  <c r="AC185" i="22" s="1"/>
  <c r="G25" i="18"/>
  <c r="H25" i="18" s="1"/>
  <c r="AC27" i="22" s="1"/>
  <c r="G278" i="18"/>
  <c r="H278" i="18" s="1"/>
  <c r="AC281" i="22" s="1"/>
  <c r="G152" i="18"/>
  <c r="H152" i="18" s="1"/>
  <c r="AC155" i="22" s="1"/>
  <c r="G295" i="18"/>
  <c r="H295" i="18" s="1"/>
  <c r="AC298" i="22" s="1"/>
  <c r="G289" i="18"/>
  <c r="H289" i="18" s="1"/>
  <c r="AC292" i="22" s="1"/>
  <c r="G223" i="18"/>
  <c r="H223" i="18" s="1"/>
  <c r="AC226" i="22" s="1"/>
  <c r="G303" i="18"/>
  <c r="H303" i="18" s="1"/>
  <c r="AC306" i="22" s="1"/>
  <c r="G258" i="18"/>
  <c r="H258" i="18" s="1"/>
  <c r="AC261" i="22" s="1"/>
  <c r="G172" i="18"/>
  <c r="H172" i="18" s="1"/>
  <c r="AC174" i="22" s="1"/>
  <c r="G74" i="18"/>
  <c r="H74" i="18" s="1"/>
  <c r="AC76" i="22" s="1"/>
  <c r="G38" i="18"/>
  <c r="H38" i="18" s="1"/>
  <c r="AC40" i="22" s="1"/>
  <c r="G94" i="18"/>
  <c r="H94" i="18" s="1"/>
  <c r="AC96" i="22" s="1"/>
  <c r="G39" i="18"/>
  <c r="H39" i="18" s="1"/>
  <c r="AC41" i="22" s="1"/>
  <c r="G214" i="18"/>
  <c r="H214" i="18" s="1"/>
  <c r="AC217" i="22" s="1"/>
  <c r="G113" i="18"/>
  <c r="H113" i="18" s="1"/>
  <c r="AC115" i="22" s="1"/>
  <c r="G86" i="18"/>
  <c r="H86" i="18" s="1"/>
  <c r="AC88" i="22" s="1"/>
  <c r="G147" i="18"/>
  <c r="H147" i="18" s="1"/>
  <c r="AC150" i="22" s="1"/>
  <c r="G75" i="18"/>
  <c r="H75" i="18" s="1"/>
  <c r="AC77" i="22" s="1"/>
  <c r="G35" i="18"/>
  <c r="H35" i="18" s="1"/>
  <c r="AC37" i="22" s="1"/>
  <c r="G79" i="18"/>
  <c r="H79" i="18" s="1"/>
  <c r="AC81" i="22" s="1"/>
  <c r="G48" i="18"/>
  <c r="H48" i="18" s="1"/>
  <c r="AC50" i="22" s="1"/>
  <c r="G285" i="18"/>
  <c r="H285" i="18" s="1"/>
  <c r="AC288" i="22" s="1"/>
  <c r="G175" i="18"/>
  <c r="H175" i="18" s="1"/>
  <c r="AC177" i="22" s="1"/>
  <c r="G69" i="18"/>
  <c r="H69" i="18" s="1"/>
  <c r="AC71" i="22" s="1"/>
  <c r="G16" i="18"/>
  <c r="H16" i="18" s="1"/>
  <c r="AC18" i="22" s="1"/>
  <c r="G251" i="18"/>
  <c r="H251" i="18" s="1"/>
  <c r="AC254" i="22" s="1"/>
  <c r="G262" i="18"/>
  <c r="H262" i="18" s="1"/>
  <c r="AC265" i="22" s="1"/>
  <c r="G93" i="18"/>
  <c r="H93" i="18" s="1"/>
  <c r="AC95" i="22" s="1"/>
  <c r="G41" i="18"/>
  <c r="H41" i="18" s="1"/>
  <c r="AC43" i="22" s="1"/>
  <c r="G11" i="18"/>
  <c r="H11" i="18" s="1"/>
  <c r="AC14" i="22" s="1"/>
  <c r="G76" i="18"/>
  <c r="H76" i="18" s="1"/>
  <c r="AC78" i="22" s="1"/>
  <c r="G73" i="18"/>
  <c r="H73" i="18" s="1"/>
  <c r="AC75" i="22" s="1"/>
  <c r="G194" i="18"/>
  <c r="H194" i="18" s="1"/>
  <c r="AC196" i="22" s="1"/>
  <c r="G27" i="18"/>
  <c r="H27" i="18" s="1"/>
  <c r="AC29" i="22" s="1"/>
  <c r="G44" i="18"/>
  <c r="H44" i="18" s="1"/>
  <c r="AC46" i="22" s="1"/>
  <c r="G57" i="18"/>
  <c r="H57" i="18" s="1"/>
  <c r="AC59" i="22" s="1"/>
  <c r="G59" i="18"/>
  <c r="H59" i="18" s="1"/>
  <c r="AC61" i="22" s="1"/>
  <c r="G90" i="18"/>
  <c r="H90" i="18" s="1"/>
  <c r="AC92" i="22" s="1"/>
  <c r="G19" i="18"/>
  <c r="H19" i="18" s="1"/>
  <c r="AC21" i="22" s="1"/>
  <c r="G160" i="18"/>
  <c r="H160" i="18" s="1"/>
  <c r="AC162" i="22" s="1"/>
  <c r="G154" i="18"/>
  <c r="H154" i="18" s="1"/>
  <c r="AC198" i="22" s="1"/>
  <c r="G209" i="18"/>
  <c r="H209" i="18" s="1"/>
  <c r="AC212" i="22" s="1"/>
  <c r="G42" i="18"/>
  <c r="H42" i="18" s="1"/>
  <c r="AC44" i="22" s="1"/>
  <c r="G177" i="18"/>
  <c r="H177" i="18" s="1"/>
  <c r="AC179" i="22" s="1"/>
  <c r="G122" i="18"/>
  <c r="H122" i="18" s="1"/>
  <c r="AC124" i="22" s="1"/>
  <c r="G156" i="18"/>
  <c r="H156" i="18" s="1"/>
  <c r="AC158" i="22" s="1"/>
  <c r="G124" i="18"/>
  <c r="H124" i="18" s="1"/>
  <c r="AC126" i="22" s="1"/>
  <c r="G20" i="18"/>
  <c r="H20" i="18" s="1"/>
  <c r="AC22" i="22" s="1"/>
  <c r="G15" i="18"/>
  <c r="H15" i="18" s="1"/>
  <c r="AC17" i="22" s="1"/>
  <c r="G12" i="18"/>
  <c r="H12" i="18" s="1"/>
  <c r="AC15" i="22" s="1"/>
  <c r="G84" i="18"/>
  <c r="H84" i="18" s="1"/>
  <c r="AC86" i="22" s="1"/>
  <c r="G203" i="18"/>
  <c r="H203" i="18" s="1"/>
  <c r="AC206" i="22" s="1"/>
  <c r="G252" i="18"/>
  <c r="H252" i="18" s="1"/>
  <c r="AC255" i="22" s="1"/>
  <c r="G116" i="18"/>
  <c r="H116" i="18" s="1"/>
  <c r="AC118" i="22" s="1"/>
  <c r="G292" i="18"/>
  <c r="H292" i="18" s="1"/>
  <c r="AC295" i="22" s="1"/>
  <c r="G230" i="18"/>
  <c r="H230" i="18" s="1"/>
  <c r="AC233" i="22" s="1"/>
  <c r="G107" i="18"/>
  <c r="H107" i="18" s="1"/>
  <c r="AC109" i="22" s="1"/>
  <c r="G284" i="18"/>
  <c r="H284" i="18" s="1"/>
  <c r="AC287" i="22" s="1"/>
  <c r="G100" i="18"/>
  <c r="H100" i="18" s="1"/>
  <c r="AC102" i="22" s="1"/>
  <c r="G184" i="18"/>
  <c r="H184" i="18" s="1"/>
  <c r="AC186" i="22" s="1"/>
  <c r="AC320" i="22" l="1"/>
  <c r="M236" i="18"/>
  <c r="C239" i="22"/>
  <c r="AL239" i="22" s="1"/>
  <c r="Q241" i="10" s="1"/>
  <c r="M6" i="18"/>
  <c r="C9" i="22"/>
  <c r="AL9" i="22" s="1"/>
  <c r="M193" i="18"/>
  <c r="C195" i="22"/>
  <c r="AL195" i="22" s="1"/>
  <c r="Q198" i="10" s="1"/>
  <c r="C198" i="10" s="1"/>
  <c r="M10" i="18"/>
  <c r="C13" i="22"/>
  <c r="AL13" i="22" s="1"/>
  <c r="Q15" i="10" s="1"/>
  <c r="M293" i="18"/>
  <c r="C296" i="22"/>
  <c r="AL296" i="22" s="1"/>
  <c r="Q298" i="10" s="1"/>
  <c r="N101" i="18"/>
  <c r="D103" i="22"/>
  <c r="AM103" i="22" s="1"/>
  <c r="R106" i="10" s="1"/>
  <c r="D106" i="10" s="1"/>
  <c r="M7" i="18"/>
  <c r="C10" i="22"/>
  <c r="AL10" i="22" s="1"/>
  <c r="Q12" i="10" s="1"/>
  <c r="M121" i="18"/>
  <c r="C123" i="22"/>
  <c r="AL123" i="22" s="1"/>
  <c r="Q126" i="10" s="1"/>
  <c r="M187" i="18"/>
  <c r="C189" i="22"/>
  <c r="AL189" i="22" s="1"/>
  <c r="Q192" i="10" s="1"/>
  <c r="M30" i="18"/>
  <c r="C32" i="22"/>
  <c r="AL32" i="22" s="1"/>
  <c r="Q35" i="10" s="1"/>
  <c r="M309" i="18"/>
  <c r="C311" i="22"/>
  <c r="AL311" i="22" s="1"/>
  <c r="Q314" i="10" s="1"/>
  <c r="N306" i="18"/>
  <c r="D308" i="22"/>
  <c r="AM308" i="22" s="1"/>
  <c r="R311" i="10" s="1"/>
  <c r="M310" i="18"/>
  <c r="C313" i="22"/>
  <c r="AL313" i="22" s="1"/>
  <c r="Q315" i="10" s="1"/>
  <c r="N192" i="18"/>
  <c r="D193" i="22"/>
  <c r="AM193" i="22" s="1"/>
  <c r="R196" i="10" s="1"/>
  <c r="L108" i="18"/>
  <c r="L248" i="18"/>
  <c r="P267" i="9"/>
  <c r="Q267" i="9" s="1"/>
  <c r="L262" i="18"/>
  <c r="R13" i="13"/>
  <c r="L182" i="18"/>
  <c r="L175" i="18"/>
  <c r="L27" i="18"/>
  <c r="L11" i="18"/>
  <c r="L283" i="18"/>
  <c r="L154" i="18"/>
  <c r="L8" i="18"/>
  <c r="L12" i="18"/>
  <c r="L90" i="18"/>
  <c r="L251" i="18"/>
  <c r="L214" i="18"/>
  <c r="L278" i="18"/>
  <c r="L239" i="18"/>
  <c r="L291" i="18"/>
  <c r="L139" i="18"/>
  <c r="L294" i="18"/>
  <c r="L219" i="18"/>
  <c r="L212" i="18"/>
  <c r="L226" i="18"/>
  <c r="L227" i="18"/>
  <c r="L140" i="18"/>
  <c r="L87" i="18"/>
  <c r="L171" i="18"/>
  <c r="L36" i="18"/>
  <c r="L89" i="18"/>
  <c r="L98" i="18"/>
  <c r="L210" i="18"/>
  <c r="L60" i="18"/>
  <c r="L66" i="18"/>
  <c r="L148" i="18"/>
  <c r="L95" i="18"/>
  <c r="L15" i="18"/>
  <c r="L59" i="18"/>
  <c r="L16" i="18"/>
  <c r="L39" i="18"/>
  <c r="L25" i="18"/>
  <c r="L18" i="18"/>
  <c r="L50" i="18"/>
  <c r="P198" i="9"/>
  <c r="Q198" i="9" s="1"/>
  <c r="L55" i="18"/>
  <c r="L253" i="18"/>
  <c r="L271" i="18"/>
  <c r="L133" i="18"/>
  <c r="L238" i="18"/>
  <c r="L264" i="18"/>
  <c r="L222" i="18"/>
  <c r="L109" i="18"/>
  <c r="L259" i="18"/>
  <c r="L308" i="18"/>
  <c r="L196" i="18"/>
  <c r="L127" i="18"/>
  <c r="L290" i="18"/>
  <c r="L46" i="18"/>
  <c r="L62" i="18"/>
  <c r="L157" i="18"/>
  <c r="L149" i="18"/>
  <c r="L208" i="18"/>
  <c r="L237" i="18"/>
  <c r="L163" i="18"/>
  <c r="L161" i="18"/>
  <c r="L40" i="18"/>
  <c r="L213" i="18"/>
  <c r="L22" i="18"/>
  <c r="C24" i="22" s="1"/>
  <c r="AL24" i="22" s="1"/>
  <c r="Q27" i="10" s="1"/>
  <c r="L67" i="18"/>
  <c r="L106" i="18"/>
  <c r="L245" i="18"/>
  <c r="L168" i="18"/>
  <c r="L281" i="18"/>
  <c r="L49" i="18"/>
  <c r="L267" i="18"/>
  <c r="L64" i="18"/>
  <c r="L9" i="18"/>
  <c r="L130" i="18"/>
  <c r="L254" i="18"/>
  <c r="L249" i="18"/>
  <c r="L23" i="18"/>
  <c r="L277" i="18"/>
  <c r="L178" i="18"/>
  <c r="L146" i="18"/>
  <c r="L65" i="18"/>
  <c r="L71" i="18"/>
  <c r="L276" i="18"/>
  <c r="L247" i="18"/>
  <c r="L205" i="18"/>
  <c r="L202" i="18"/>
  <c r="L301" i="18"/>
  <c r="L164" i="18"/>
  <c r="L47" i="18"/>
  <c r="L206" i="18"/>
  <c r="L100" i="18"/>
  <c r="L285" i="18"/>
  <c r="L300" i="18"/>
  <c r="L54" i="18"/>
  <c r="L229" i="18"/>
  <c r="L189" i="18"/>
  <c r="L28" i="18"/>
  <c r="L279" i="18"/>
  <c r="L217" i="18"/>
  <c r="L299" i="18"/>
  <c r="L115" i="18"/>
  <c r="L282" i="18"/>
  <c r="L136" i="18"/>
  <c r="L173" i="18"/>
  <c r="L92" i="18"/>
  <c r="L72" i="18"/>
  <c r="L13" i="18"/>
  <c r="L225" i="18"/>
  <c r="L53" i="18"/>
  <c r="L241" i="18"/>
  <c r="L56" i="18"/>
  <c r="L57" i="18"/>
  <c r="L151" i="18"/>
  <c r="L224" i="18"/>
  <c r="L122" i="18"/>
  <c r="C124" i="22" s="1"/>
  <c r="AL124" i="22" s="1"/>
  <c r="Q127" i="10" s="1"/>
  <c r="L48" i="18"/>
  <c r="L172" i="18"/>
  <c r="L103" i="18"/>
  <c r="L43" i="18"/>
  <c r="L63" i="18"/>
  <c r="L170" i="18"/>
  <c r="L138" i="18"/>
  <c r="L169" i="18"/>
  <c r="L198" i="18"/>
  <c r="L85" i="18"/>
  <c r="L162" i="18"/>
  <c r="L29" i="18"/>
  <c r="L142" i="18"/>
  <c r="L232" i="18"/>
  <c r="L33" i="18"/>
  <c r="P107" i="9"/>
  <c r="Q107" i="9" s="1"/>
  <c r="L102" i="18"/>
  <c r="L280" i="18"/>
  <c r="L120" i="18"/>
  <c r="L105" i="18"/>
  <c r="L221" i="18"/>
  <c r="L94" i="18"/>
  <c r="L38" i="18"/>
  <c r="L74" i="18"/>
  <c r="L107" i="18"/>
  <c r="L194" i="18"/>
  <c r="L58" i="18"/>
  <c r="L230" i="18"/>
  <c r="L177" i="18"/>
  <c r="L73" i="18"/>
  <c r="L79" i="18"/>
  <c r="L258" i="18"/>
  <c r="L228" i="18"/>
  <c r="L118" i="18"/>
  <c r="L45" i="18"/>
  <c r="L17" i="18"/>
  <c r="L256" i="18"/>
  <c r="L145" i="18"/>
  <c r="L123" i="18"/>
  <c r="L181" i="18"/>
  <c r="L88" i="18"/>
  <c r="L185" i="18"/>
  <c r="L272" i="18"/>
  <c r="L159" i="18"/>
  <c r="L304" i="18"/>
  <c r="L204" i="18"/>
  <c r="L307" i="18"/>
  <c r="L37" i="18"/>
  <c r="L298" i="18"/>
  <c r="L51" i="18"/>
  <c r="L141" i="18"/>
  <c r="L20" i="18"/>
  <c r="L114" i="18"/>
  <c r="L292" i="18"/>
  <c r="L76" i="18"/>
  <c r="L35" i="18"/>
  <c r="L303" i="18"/>
  <c r="L104" i="18"/>
  <c r="L68" i="18"/>
  <c r="L302" i="18"/>
  <c r="L257" i="18"/>
  <c r="L83" i="18"/>
  <c r="L167" i="18"/>
  <c r="L111" i="18"/>
  <c r="L131" i="18"/>
  <c r="L263" i="18"/>
  <c r="L143" i="18"/>
  <c r="L201" i="18"/>
  <c r="C204" i="22" s="1"/>
  <c r="AL204" i="22" s="1"/>
  <c r="Q206" i="10" s="1"/>
  <c r="L190" i="18"/>
  <c r="L211" i="18"/>
  <c r="L242" i="18"/>
  <c r="L269" i="18"/>
  <c r="L128" i="18"/>
  <c r="L288" i="18"/>
  <c r="L24" i="18"/>
  <c r="L250" i="18"/>
  <c r="L184" i="18"/>
  <c r="L124" i="18"/>
  <c r="L284" i="18"/>
  <c r="L75" i="18"/>
  <c r="L78" i="18"/>
  <c r="L274" i="18"/>
  <c r="L305" i="18"/>
  <c r="L240" i="18"/>
  <c r="L215" i="18"/>
  <c r="L70" i="18"/>
  <c r="L126" i="18"/>
  <c r="L129" i="18"/>
  <c r="L97" i="18"/>
  <c r="L150" i="18"/>
  <c r="L96" i="18"/>
  <c r="L270" i="18"/>
  <c r="L174" i="18"/>
  <c r="L268" i="18"/>
  <c r="L218" i="18"/>
  <c r="L179" i="18"/>
  <c r="L165" i="18"/>
  <c r="L77" i="18"/>
  <c r="L209" i="18"/>
  <c r="L252" i="18"/>
  <c r="L289" i="18"/>
  <c r="L34" i="18"/>
  <c r="L266" i="18"/>
  <c r="L273" i="18"/>
  <c r="L61" i="18"/>
  <c r="L287" i="18"/>
  <c r="L99" i="18"/>
  <c r="L110" i="18"/>
  <c r="C112" i="22" s="1"/>
  <c r="AL112" i="22" s="1"/>
  <c r="Q115" i="10" s="1"/>
  <c r="L191" i="18"/>
  <c r="L231" i="18"/>
  <c r="L260" i="18"/>
  <c r="L261" i="18"/>
  <c r="L135" i="18"/>
  <c r="L246" i="18"/>
  <c r="L176" i="18"/>
  <c r="L91" i="18"/>
  <c r="L69" i="18"/>
  <c r="L82" i="18"/>
  <c r="L42" i="18"/>
  <c r="L223" i="18"/>
  <c r="L41" i="18"/>
  <c r="L14" i="18"/>
  <c r="L203" i="18"/>
  <c r="L86" i="18"/>
  <c r="L195" i="18"/>
  <c r="L243" i="18"/>
  <c r="L286" i="18"/>
  <c r="L117" i="18"/>
  <c r="L119" i="18"/>
  <c r="L137" i="18"/>
  <c r="L81" i="18"/>
  <c r="L158" i="18"/>
  <c r="L235" i="18"/>
  <c r="L188" i="18"/>
  <c r="L52" i="18"/>
  <c r="L207" i="18"/>
  <c r="L144" i="18"/>
  <c r="L255" i="18"/>
  <c r="L296" i="18"/>
  <c r="C299" i="22" s="1"/>
  <c r="AL299" i="22" s="1"/>
  <c r="Q301" i="10" s="1"/>
  <c r="L183" i="18"/>
  <c r="L44" i="18"/>
  <c r="L156" i="18"/>
  <c r="L116" i="18"/>
  <c r="L265" i="18"/>
  <c r="L147" i="18"/>
  <c r="L216" i="18"/>
  <c r="L160" i="18"/>
  <c r="L93" i="18"/>
  <c r="L295" i="18"/>
  <c r="L80" i="18"/>
  <c r="L32" i="18"/>
  <c r="L297" i="18"/>
  <c r="L26" i="18"/>
  <c r="L84" i="18"/>
  <c r="L19" i="18"/>
  <c r="L113" i="18"/>
  <c r="L152" i="18"/>
  <c r="L180" i="18"/>
  <c r="L125" i="18"/>
  <c r="L220" i="18"/>
  <c r="L132" i="18"/>
  <c r="L31" i="18"/>
  <c r="L197" i="18"/>
  <c r="L112" i="18"/>
  <c r="L199" i="18"/>
  <c r="L244" i="18"/>
  <c r="L186" i="18"/>
  <c r="L21" i="18"/>
  <c r="L275" i="18"/>
  <c r="L134" i="18"/>
  <c r="L234" i="18"/>
  <c r="L155" i="18"/>
  <c r="L233" i="18"/>
  <c r="L166" i="18"/>
  <c r="L153" i="18"/>
  <c r="L200" i="18"/>
  <c r="N5" i="18"/>
  <c r="E8" i="22" s="1"/>
  <c r="AN8" i="22" s="1"/>
  <c r="I311" i="18"/>
  <c r="P311" i="18" s="1"/>
  <c r="I309" i="18"/>
  <c r="P253" i="9"/>
  <c r="Q253" i="9" s="1"/>
  <c r="P113" i="9"/>
  <c r="Q113" i="9" s="1"/>
  <c r="I310" i="18"/>
  <c r="I236" i="18"/>
  <c r="P15" i="9"/>
  <c r="I10" i="18"/>
  <c r="P12" i="9"/>
  <c r="P318" i="9"/>
  <c r="Q318" i="9" s="1"/>
  <c r="AA41" i="13"/>
  <c r="AB41" i="13"/>
  <c r="I121" i="18"/>
  <c r="I293" i="18"/>
  <c r="I7" i="18"/>
  <c r="I6" i="18"/>
  <c r="D320" i="3"/>
  <c r="E320" i="3"/>
  <c r="C320" i="3"/>
  <c r="I30" i="18"/>
  <c r="I187" i="18"/>
  <c r="M136" i="18" l="1"/>
  <c r="C138" i="22"/>
  <c r="AL138" i="22" s="1"/>
  <c r="Q141" i="10" s="1"/>
  <c r="M267" i="18"/>
  <c r="C270" i="22"/>
  <c r="AL270" i="22" s="1"/>
  <c r="Q272" i="10" s="1"/>
  <c r="M62" i="18"/>
  <c r="C64" i="22"/>
  <c r="AL64" i="22" s="1"/>
  <c r="Q67" i="10" s="1"/>
  <c r="M87" i="18"/>
  <c r="C89" i="22"/>
  <c r="AL89" i="22" s="1"/>
  <c r="Q92" i="10" s="1"/>
  <c r="M160" i="18"/>
  <c r="C162" i="22"/>
  <c r="AL162" i="22" s="1"/>
  <c r="Q165" i="10" s="1"/>
  <c r="M176" i="18"/>
  <c r="C178" i="22"/>
  <c r="AL178" i="22" s="1"/>
  <c r="Q181" i="10" s="1"/>
  <c r="M141" i="18"/>
  <c r="C144" i="22"/>
  <c r="AL144" i="22" s="1"/>
  <c r="Q146" i="10" s="1"/>
  <c r="M103" i="18"/>
  <c r="C105" i="22"/>
  <c r="AL105" i="22" s="1"/>
  <c r="Q108" i="10" s="1"/>
  <c r="M46" i="18"/>
  <c r="C48" i="22"/>
  <c r="AL48" i="22" s="1"/>
  <c r="Q51" i="10" s="1"/>
  <c r="M18" i="18"/>
  <c r="C20" i="22"/>
  <c r="AL20" i="22" s="1"/>
  <c r="Q23" i="10" s="1"/>
  <c r="M140" i="18"/>
  <c r="C143" i="22"/>
  <c r="AL143" i="22" s="1"/>
  <c r="Q145" i="10" s="1"/>
  <c r="O101" i="18"/>
  <c r="F103" i="22" s="1"/>
  <c r="AO103" i="22" s="1"/>
  <c r="T106" i="10" s="1"/>
  <c r="F106" i="10" s="1"/>
  <c r="E103" i="22"/>
  <c r="AN103" i="22" s="1"/>
  <c r="S106" i="10" s="1"/>
  <c r="E106" i="10" s="1"/>
  <c r="M131" i="18"/>
  <c r="C133" i="22"/>
  <c r="AL133" i="22" s="1"/>
  <c r="Q136" i="10" s="1"/>
  <c r="M27" i="18"/>
  <c r="C29" i="22"/>
  <c r="AL29" i="22" s="1"/>
  <c r="Q32" i="10" s="1"/>
  <c r="M217" i="18"/>
  <c r="C220" i="22"/>
  <c r="AL220" i="22" s="1"/>
  <c r="Q222" i="10" s="1"/>
  <c r="M276" i="18"/>
  <c r="C279" i="22"/>
  <c r="AL279" i="22" s="1"/>
  <c r="Q281" i="10" s="1"/>
  <c r="M245" i="18"/>
  <c r="C248" i="22"/>
  <c r="AL248" i="22" s="1"/>
  <c r="Q250" i="10" s="1"/>
  <c r="M16" i="18"/>
  <c r="C18" i="22"/>
  <c r="AL18" i="22" s="1"/>
  <c r="Q21" i="10" s="1"/>
  <c r="M153" i="18"/>
  <c r="D156" i="22" s="1"/>
  <c r="AM156" i="22" s="1"/>
  <c r="R158" i="10" s="1"/>
  <c r="C156" i="22"/>
  <c r="AL156" i="22" s="1"/>
  <c r="Q158" i="10" s="1"/>
  <c r="M125" i="18"/>
  <c r="C127" i="22"/>
  <c r="AL127" i="22" s="1"/>
  <c r="Q130" i="10" s="1"/>
  <c r="M116" i="18"/>
  <c r="C118" i="22"/>
  <c r="AL118" i="22" s="1"/>
  <c r="Q121" i="10" s="1"/>
  <c r="M286" i="18"/>
  <c r="C289" i="22"/>
  <c r="AL289" i="22" s="1"/>
  <c r="Q291" i="10" s="1"/>
  <c r="M260" i="18"/>
  <c r="C263" i="22"/>
  <c r="AL263" i="22" s="1"/>
  <c r="Q265" i="10" s="1"/>
  <c r="M218" i="18"/>
  <c r="C221" i="22"/>
  <c r="AL221" i="22" s="1"/>
  <c r="Q223" i="10" s="1"/>
  <c r="M284" i="18"/>
  <c r="C287" i="22"/>
  <c r="AL287" i="22" s="1"/>
  <c r="Q289" i="10" s="1"/>
  <c r="M167" i="18"/>
  <c r="C169" i="22"/>
  <c r="AL169" i="22" s="1"/>
  <c r="Q172" i="10" s="1"/>
  <c r="M307" i="18"/>
  <c r="C309" i="22"/>
  <c r="AL309" i="22" s="1"/>
  <c r="Q312" i="10" s="1"/>
  <c r="M79" i="18"/>
  <c r="C81" i="22"/>
  <c r="AL81" i="22" s="1"/>
  <c r="Q84" i="10" s="1"/>
  <c r="M33" i="18"/>
  <c r="C35" i="22"/>
  <c r="AL35" i="22" s="1"/>
  <c r="Q38" i="10" s="1"/>
  <c r="M224" i="18"/>
  <c r="C227" i="22"/>
  <c r="AL227" i="22" s="1"/>
  <c r="Q229" i="10" s="1"/>
  <c r="M279" i="18"/>
  <c r="C282" i="22"/>
  <c r="AL282" i="22" s="1"/>
  <c r="Q284" i="10" s="1"/>
  <c r="M71" i="18"/>
  <c r="C73" i="22"/>
  <c r="AL73" i="22" s="1"/>
  <c r="Q76" i="10" s="1"/>
  <c r="M106" i="18"/>
  <c r="C108" i="22"/>
  <c r="AL108" i="22" s="1"/>
  <c r="Q112" i="10" s="1"/>
  <c r="M308" i="18"/>
  <c r="C310" i="22"/>
  <c r="AL310" i="22" s="1"/>
  <c r="Q313" i="10" s="1"/>
  <c r="M59" i="18"/>
  <c r="C61" i="22"/>
  <c r="AL61" i="22" s="1"/>
  <c r="Q64" i="10" s="1"/>
  <c r="M219" i="18"/>
  <c r="C222" i="22"/>
  <c r="AL222" i="22" s="1"/>
  <c r="Q224" i="10" s="1"/>
  <c r="M182" i="18"/>
  <c r="C184" i="22"/>
  <c r="AL184" i="22" s="1"/>
  <c r="Q187" i="10" s="1"/>
  <c r="N309" i="18"/>
  <c r="D311" i="22"/>
  <c r="AM311" i="22" s="1"/>
  <c r="R314" i="10" s="1"/>
  <c r="M158" i="18"/>
  <c r="C160" i="22"/>
  <c r="AL160" i="22" s="1"/>
  <c r="Q163" i="10" s="1"/>
  <c r="M20" i="18"/>
  <c r="C22" i="22"/>
  <c r="AL22" i="22" s="1"/>
  <c r="Q25" i="10" s="1"/>
  <c r="M50" i="18"/>
  <c r="C52" i="22"/>
  <c r="AL52" i="22" s="1"/>
  <c r="Q55" i="10" s="1"/>
  <c r="M282" i="18"/>
  <c r="C285" i="22"/>
  <c r="AL285" i="22" s="1"/>
  <c r="Q287" i="10" s="1"/>
  <c r="M166" i="18"/>
  <c r="C168" i="22"/>
  <c r="AL168" i="22" s="1"/>
  <c r="Q171" i="10" s="1"/>
  <c r="M180" i="18"/>
  <c r="C182" i="22"/>
  <c r="AL182" i="22" s="1"/>
  <c r="Q185" i="10" s="1"/>
  <c r="M156" i="18"/>
  <c r="C158" i="22"/>
  <c r="AL158" i="22" s="1"/>
  <c r="Q161" i="10" s="1"/>
  <c r="M243" i="18"/>
  <c r="C246" i="22"/>
  <c r="AL246" i="22" s="1"/>
  <c r="Q248" i="10" s="1"/>
  <c r="M231" i="18"/>
  <c r="C234" i="22"/>
  <c r="AL234" i="22" s="1"/>
  <c r="Q236" i="10" s="1"/>
  <c r="M268" i="18"/>
  <c r="C271" i="22"/>
  <c r="AL271" i="22" s="1"/>
  <c r="Q273" i="10" s="1"/>
  <c r="M124" i="18"/>
  <c r="C126" i="22"/>
  <c r="AL126" i="22" s="1"/>
  <c r="Q129" i="10" s="1"/>
  <c r="M83" i="18"/>
  <c r="C85" i="22"/>
  <c r="AL85" i="22" s="1"/>
  <c r="Q88" i="10" s="1"/>
  <c r="M204" i="18"/>
  <c r="C207" i="22"/>
  <c r="AL207" i="22" s="1"/>
  <c r="Q209" i="10" s="1"/>
  <c r="M73" i="18"/>
  <c r="C75" i="22"/>
  <c r="AL75" i="22" s="1"/>
  <c r="Q78" i="10" s="1"/>
  <c r="M232" i="18"/>
  <c r="C235" i="22"/>
  <c r="AL235" i="22" s="1"/>
  <c r="Q237" i="10" s="1"/>
  <c r="M151" i="18"/>
  <c r="C154" i="22"/>
  <c r="AL154" i="22" s="1"/>
  <c r="Q156" i="10" s="1"/>
  <c r="M28" i="18"/>
  <c r="C30" i="22"/>
  <c r="AL30" i="22" s="1"/>
  <c r="Q33" i="10" s="1"/>
  <c r="M65" i="18"/>
  <c r="C67" i="22"/>
  <c r="AL67" i="22" s="1"/>
  <c r="Q70" i="10" s="1"/>
  <c r="M67" i="18"/>
  <c r="C69" i="22"/>
  <c r="AL69" i="22" s="1"/>
  <c r="Q72" i="10" s="1"/>
  <c r="M259" i="18"/>
  <c r="C262" i="22"/>
  <c r="AL262" i="22" s="1"/>
  <c r="Q264" i="10" s="1"/>
  <c r="M15" i="18"/>
  <c r="C17" i="22"/>
  <c r="AL17" i="22" s="1"/>
  <c r="Q20" i="10" s="1"/>
  <c r="M294" i="18"/>
  <c r="C297" i="22"/>
  <c r="AL297" i="22" s="1"/>
  <c r="Q299" i="10" s="1"/>
  <c r="M197" i="18"/>
  <c r="C200" i="22"/>
  <c r="AL200" i="22" s="1"/>
  <c r="Q202" i="10" s="1"/>
  <c r="M209" i="18"/>
  <c r="C212" i="22"/>
  <c r="AL212" i="22" s="1"/>
  <c r="Q214" i="10" s="1"/>
  <c r="M45" i="18"/>
  <c r="C47" i="22"/>
  <c r="AL47" i="22" s="1"/>
  <c r="Q50" i="10" s="1"/>
  <c r="M202" i="18"/>
  <c r="C205" i="22"/>
  <c r="AL205" i="22" s="1"/>
  <c r="Q207" i="10" s="1"/>
  <c r="N310" i="18"/>
  <c r="D313" i="22"/>
  <c r="AM313" i="22" s="1"/>
  <c r="R315" i="10" s="1"/>
  <c r="M205" i="18"/>
  <c r="C211" i="22"/>
  <c r="AL211" i="22" s="1"/>
  <c r="Q210" i="10" s="1"/>
  <c r="M165" i="18"/>
  <c r="C167" i="22"/>
  <c r="AL167" i="22" s="1"/>
  <c r="Q170" i="10" s="1"/>
  <c r="O306" i="18"/>
  <c r="F308" i="22" s="1"/>
  <c r="AO308" i="22" s="1"/>
  <c r="T311" i="10" s="1"/>
  <c r="E308" i="22"/>
  <c r="AN308" i="22" s="1"/>
  <c r="S311" i="10" s="1"/>
  <c r="M200" i="18"/>
  <c r="C203" i="22"/>
  <c r="AL203" i="22" s="1"/>
  <c r="Q205" i="10" s="1"/>
  <c r="M265" i="18"/>
  <c r="C268" i="22"/>
  <c r="AL268" i="22" s="1"/>
  <c r="Q270" i="10" s="1"/>
  <c r="M261" i="18"/>
  <c r="C264" i="22"/>
  <c r="AL264" i="22" s="1"/>
  <c r="Q266" i="10" s="1"/>
  <c r="M75" i="18"/>
  <c r="C77" i="22"/>
  <c r="AL77" i="22" s="1"/>
  <c r="Q80" i="10" s="1"/>
  <c r="M258" i="18"/>
  <c r="C261" i="22"/>
  <c r="AL261" i="22" s="1"/>
  <c r="Q263" i="10" s="1"/>
  <c r="M175" i="18"/>
  <c r="C177" i="22"/>
  <c r="AL177" i="22" s="1"/>
  <c r="Q180" i="10" s="1"/>
  <c r="M233" i="18"/>
  <c r="C236" i="22"/>
  <c r="AL236" i="22" s="1"/>
  <c r="Q238" i="10" s="1"/>
  <c r="M152" i="18"/>
  <c r="C155" i="22"/>
  <c r="AL155" i="22" s="1"/>
  <c r="Q157" i="10" s="1"/>
  <c r="M44" i="18"/>
  <c r="C46" i="22"/>
  <c r="AL46" i="22" s="1"/>
  <c r="Q49" i="10" s="1"/>
  <c r="M195" i="18"/>
  <c r="C197" i="22"/>
  <c r="AL197" i="22" s="1"/>
  <c r="Q200" i="10" s="1"/>
  <c r="M191" i="18"/>
  <c r="C192" i="22"/>
  <c r="AL192" i="22" s="1"/>
  <c r="Q195" i="10" s="1"/>
  <c r="M174" i="18"/>
  <c r="C176" i="22"/>
  <c r="AL176" i="22" s="1"/>
  <c r="Q179" i="10" s="1"/>
  <c r="M184" i="18"/>
  <c r="C186" i="22"/>
  <c r="AL186" i="22" s="1"/>
  <c r="Q189" i="10" s="1"/>
  <c r="M257" i="18"/>
  <c r="C260" i="22"/>
  <c r="AL260" i="22" s="1"/>
  <c r="Q262" i="10" s="1"/>
  <c r="M304" i="18"/>
  <c r="D307" i="22" s="1"/>
  <c r="AM307" i="22" s="1"/>
  <c r="R309" i="10" s="1"/>
  <c r="C307" i="22"/>
  <c r="AL307" i="22" s="1"/>
  <c r="Q309" i="10" s="1"/>
  <c r="M177" i="18"/>
  <c r="C179" i="22"/>
  <c r="AL179" i="22" s="1"/>
  <c r="Q182" i="10" s="1"/>
  <c r="M142" i="18"/>
  <c r="C145" i="22"/>
  <c r="AL145" i="22" s="1"/>
  <c r="Q147" i="10" s="1"/>
  <c r="M57" i="18"/>
  <c r="C59" i="22"/>
  <c r="AL59" i="22" s="1"/>
  <c r="Q62" i="10" s="1"/>
  <c r="M189" i="18"/>
  <c r="D194" i="22" s="1"/>
  <c r="AM194" i="22" s="1"/>
  <c r="R197" i="10" s="1"/>
  <c r="C194" i="22"/>
  <c r="AL194" i="22" s="1"/>
  <c r="Q197" i="10" s="1"/>
  <c r="M146" i="18"/>
  <c r="C149" i="22"/>
  <c r="AL149" i="22" s="1"/>
  <c r="Q151" i="10" s="1"/>
  <c r="M109" i="18"/>
  <c r="C111" i="22"/>
  <c r="AL111" i="22" s="1"/>
  <c r="Q114" i="10" s="1"/>
  <c r="M95" i="18"/>
  <c r="C97" i="22"/>
  <c r="AL97" i="22" s="1"/>
  <c r="Q100" i="10" s="1"/>
  <c r="M139" i="18"/>
  <c r="C142" i="22"/>
  <c r="AL142" i="22" s="1"/>
  <c r="Q144" i="10" s="1"/>
  <c r="M262" i="18"/>
  <c r="C265" i="22"/>
  <c r="AL265" i="22" s="1"/>
  <c r="Q267" i="10" s="1"/>
  <c r="M220" i="18"/>
  <c r="C223" i="22"/>
  <c r="AL223" i="22" s="1"/>
  <c r="Q225" i="10" s="1"/>
  <c r="M117" i="18"/>
  <c r="C119" i="22"/>
  <c r="AL119" i="22" s="1"/>
  <c r="Q122" i="10" s="1"/>
  <c r="M111" i="18"/>
  <c r="C113" i="22"/>
  <c r="AL113" i="22" s="1"/>
  <c r="Q116" i="10" s="1"/>
  <c r="M196" i="18"/>
  <c r="C199" i="22"/>
  <c r="AL199" i="22" s="1"/>
  <c r="Q201" i="10" s="1"/>
  <c r="M86" i="18"/>
  <c r="C88" i="22"/>
  <c r="AL88" i="22" s="1"/>
  <c r="Q91" i="10" s="1"/>
  <c r="M270" i="18"/>
  <c r="C273" i="22"/>
  <c r="AL273" i="22" s="1"/>
  <c r="Q275" i="10" s="1"/>
  <c r="M250" i="18"/>
  <c r="C253" i="22"/>
  <c r="AL253" i="22" s="1"/>
  <c r="Q255" i="10" s="1"/>
  <c r="M302" i="18"/>
  <c r="C305" i="22"/>
  <c r="AL305" i="22" s="1"/>
  <c r="Q307" i="10" s="1"/>
  <c r="M159" i="18"/>
  <c r="C161" i="22"/>
  <c r="AL161" i="22" s="1"/>
  <c r="Q164" i="10" s="1"/>
  <c r="M230" i="18"/>
  <c r="C233" i="22"/>
  <c r="AL233" i="22" s="1"/>
  <c r="Q235" i="10" s="1"/>
  <c r="M29" i="18"/>
  <c r="C31" i="22"/>
  <c r="AL31" i="22" s="1"/>
  <c r="Q34" i="10" s="1"/>
  <c r="M56" i="18"/>
  <c r="C58" i="22"/>
  <c r="AL58" i="22" s="1"/>
  <c r="Q61" i="10" s="1"/>
  <c r="M229" i="18"/>
  <c r="C232" i="22"/>
  <c r="AL232" i="22" s="1"/>
  <c r="Q234" i="10" s="1"/>
  <c r="M178" i="18"/>
  <c r="C180" i="22"/>
  <c r="AL180" i="22" s="1"/>
  <c r="Q183" i="10" s="1"/>
  <c r="M213" i="18"/>
  <c r="C216" i="22"/>
  <c r="AL216" i="22" s="1"/>
  <c r="Q218" i="10" s="1"/>
  <c r="M222" i="18"/>
  <c r="C225" i="22"/>
  <c r="AL225" i="22" s="1"/>
  <c r="Q227" i="10" s="1"/>
  <c r="M148" i="18"/>
  <c r="C151" i="22"/>
  <c r="AL151" i="22" s="1"/>
  <c r="Q153" i="10" s="1"/>
  <c r="M291" i="18"/>
  <c r="C294" i="22"/>
  <c r="AL294" i="22" s="1"/>
  <c r="Q296" i="10" s="1"/>
  <c r="N10" i="18"/>
  <c r="D13" i="22"/>
  <c r="AM13" i="22" s="1"/>
  <c r="R15" i="10" s="1"/>
  <c r="M49" i="18"/>
  <c r="C51" i="22"/>
  <c r="AL51" i="22" s="1"/>
  <c r="Q54" i="10" s="1"/>
  <c r="M147" i="18"/>
  <c r="C150" i="22"/>
  <c r="AL150" i="22" s="1"/>
  <c r="Q152" i="10" s="1"/>
  <c r="M39" i="18"/>
  <c r="C41" i="22"/>
  <c r="AL41" i="22" s="1"/>
  <c r="Q44" i="10" s="1"/>
  <c r="M37" i="18"/>
  <c r="C39" i="22"/>
  <c r="AL39" i="22" s="1"/>
  <c r="Q42" i="10" s="1"/>
  <c r="M234" i="18"/>
  <c r="C237" i="22"/>
  <c r="AL237" i="22" s="1"/>
  <c r="Q239" i="10" s="1"/>
  <c r="M19" i="18"/>
  <c r="C21" i="22"/>
  <c r="AL21" i="22" s="1"/>
  <c r="Q24" i="10" s="1"/>
  <c r="M203" i="18"/>
  <c r="C206" i="22"/>
  <c r="AL206" i="22" s="1"/>
  <c r="Q208" i="10" s="1"/>
  <c r="M99" i="18"/>
  <c r="C101" i="22"/>
  <c r="AL101" i="22" s="1"/>
  <c r="Q104" i="10" s="1"/>
  <c r="M96" i="18"/>
  <c r="C98" i="22"/>
  <c r="AL98" i="22" s="1"/>
  <c r="Q101" i="10" s="1"/>
  <c r="M24" i="18"/>
  <c r="C26" i="22"/>
  <c r="AL26" i="22" s="1"/>
  <c r="Q29" i="10" s="1"/>
  <c r="M68" i="18"/>
  <c r="C70" i="22"/>
  <c r="AL70" i="22" s="1"/>
  <c r="Q73" i="10" s="1"/>
  <c r="M272" i="18"/>
  <c r="C275" i="22"/>
  <c r="AL275" i="22" s="1"/>
  <c r="Q277" i="10" s="1"/>
  <c r="M58" i="18"/>
  <c r="C60" i="22"/>
  <c r="AL60" i="22" s="1"/>
  <c r="Q63" i="10" s="1"/>
  <c r="M162" i="18"/>
  <c r="C165" i="22"/>
  <c r="AL165" i="22" s="1"/>
  <c r="Q168" i="10" s="1"/>
  <c r="M241" i="18"/>
  <c r="C244" i="22"/>
  <c r="AL244" i="22" s="1"/>
  <c r="Q246" i="10" s="1"/>
  <c r="M54" i="18"/>
  <c r="C56" i="22"/>
  <c r="AL56" i="22" s="1"/>
  <c r="Q59" i="10" s="1"/>
  <c r="M277" i="18"/>
  <c r="C280" i="22"/>
  <c r="AL280" i="22" s="1"/>
  <c r="Q282" i="10" s="1"/>
  <c r="M40" i="18"/>
  <c r="C42" i="22"/>
  <c r="AL42" i="22" s="1"/>
  <c r="Q45" i="10" s="1"/>
  <c r="M264" i="18"/>
  <c r="C267" i="22"/>
  <c r="AL267" i="22" s="1"/>
  <c r="Q269" i="10" s="1"/>
  <c r="M66" i="18"/>
  <c r="C68" i="22"/>
  <c r="AL68" i="22" s="1"/>
  <c r="Q71" i="10" s="1"/>
  <c r="M239" i="18"/>
  <c r="C242" i="22"/>
  <c r="AL242" i="22" s="1"/>
  <c r="Q244" i="10" s="1"/>
  <c r="M248" i="18"/>
  <c r="C251" i="22"/>
  <c r="AL251" i="22" s="1"/>
  <c r="Q253" i="10" s="1"/>
  <c r="N30" i="18"/>
  <c r="D32" i="22"/>
  <c r="AM32" i="22" s="1"/>
  <c r="R35" i="10" s="1"/>
  <c r="M91" i="18"/>
  <c r="C93" i="22"/>
  <c r="AL93" i="22" s="1"/>
  <c r="Q96" i="10" s="1"/>
  <c r="M137" i="18"/>
  <c r="C140" i="22"/>
  <c r="AL140" i="22" s="1"/>
  <c r="Q142" i="10" s="1"/>
  <c r="M274" i="18"/>
  <c r="C277" i="22"/>
  <c r="AL277" i="22" s="1"/>
  <c r="Q279" i="10" s="1"/>
  <c r="M51" i="18"/>
  <c r="C53" i="22"/>
  <c r="AL53" i="22" s="1"/>
  <c r="Q56" i="10" s="1"/>
  <c r="M280" i="18"/>
  <c r="C283" i="22"/>
  <c r="AL283" i="22" s="1"/>
  <c r="Q285" i="10" s="1"/>
  <c r="M172" i="18"/>
  <c r="C174" i="22"/>
  <c r="AL174" i="22" s="1"/>
  <c r="Q177" i="10" s="1"/>
  <c r="M115" i="18"/>
  <c r="C117" i="22"/>
  <c r="AL117" i="22" s="1"/>
  <c r="Q120" i="10" s="1"/>
  <c r="M281" i="18"/>
  <c r="C284" i="22"/>
  <c r="AL284" i="22" s="1"/>
  <c r="Q286" i="10" s="1"/>
  <c r="M290" i="18"/>
  <c r="C293" i="22"/>
  <c r="AL293" i="22" s="1"/>
  <c r="Q295" i="10" s="1"/>
  <c r="M25" i="18"/>
  <c r="C27" i="22"/>
  <c r="AL27" i="22" s="1"/>
  <c r="Q30" i="10" s="1"/>
  <c r="M11" i="18"/>
  <c r="C14" i="22"/>
  <c r="AL14" i="22" s="1"/>
  <c r="Q16" i="10" s="1"/>
  <c r="M132" i="18"/>
  <c r="C134" i="22"/>
  <c r="AL134" i="22" s="1"/>
  <c r="Q137" i="10" s="1"/>
  <c r="M48" i="18"/>
  <c r="C50" i="22"/>
  <c r="AL50" i="22" s="1"/>
  <c r="Q53" i="10" s="1"/>
  <c r="M179" i="18"/>
  <c r="C181" i="22"/>
  <c r="AL181" i="22" s="1"/>
  <c r="Q184" i="10" s="1"/>
  <c r="M134" i="18"/>
  <c r="C136" i="22"/>
  <c r="AL136" i="22" s="1"/>
  <c r="Q139" i="10" s="1"/>
  <c r="M84" i="18"/>
  <c r="C86" i="22"/>
  <c r="AL86" i="22" s="1"/>
  <c r="Q89" i="10" s="1"/>
  <c r="M255" i="18"/>
  <c r="C258" i="22"/>
  <c r="AL258" i="22" s="1"/>
  <c r="Q260" i="10" s="1"/>
  <c r="M14" i="18"/>
  <c r="C16" i="22"/>
  <c r="AL16" i="22" s="1"/>
  <c r="Q19" i="10" s="1"/>
  <c r="M287" i="18"/>
  <c r="C290" i="22"/>
  <c r="AL290" i="22" s="1"/>
  <c r="Q292" i="10" s="1"/>
  <c r="M150" i="18"/>
  <c r="C153" i="22"/>
  <c r="AL153" i="22" s="1"/>
  <c r="Q155" i="10" s="1"/>
  <c r="M288" i="18"/>
  <c r="C291" i="22"/>
  <c r="AL291" i="22" s="1"/>
  <c r="Q293" i="10" s="1"/>
  <c r="M104" i="18"/>
  <c r="C106" i="22"/>
  <c r="AL106" i="22" s="1"/>
  <c r="Q109" i="10" s="1"/>
  <c r="M185" i="18"/>
  <c r="C187" i="22"/>
  <c r="AL187" i="22" s="1"/>
  <c r="Q190" i="10" s="1"/>
  <c r="M194" i="18"/>
  <c r="C196" i="22"/>
  <c r="AL196" i="22" s="1"/>
  <c r="Q199" i="10" s="1"/>
  <c r="M85" i="18"/>
  <c r="C87" i="22"/>
  <c r="AL87" i="22" s="1"/>
  <c r="Q90" i="10" s="1"/>
  <c r="M53" i="18"/>
  <c r="C55" i="22"/>
  <c r="AL55" i="22" s="1"/>
  <c r="Q58" i="10" s="1"/>
  <c r="M300" i="18"/>
  <c r="C303" i="22"/>
  <c r="AL303" i="22" s="1"/>
  <c r="Q305" i="10" s="1"/>
  <c r="M23" i="18"/>
  <c r="C25" i="22"/>
  <c r="AL25" i="22" s="1"/>
  <c r="Q28" i="10" s="1"/>
  <c r="M161" i="18"/>
  <c r="C163" i="22"/>
  <c r="AL163" i="22" s="1"/>
  <c r="Q166" i="10" s="1"/>
  <c r="M238" i="18"/>
  <c r="D241" i="22" s="1"/>
  <c r="AM241" i="22" s="1"/>
  <c r="R243" i="10" s="1"/>
  <c r="C241" i="22"/>
  <c r="AL241" i="22" s="1"/>
  <c r="Q243" i="10" s="1"/>
  <c r="M60" i="18"/>
  <c r="C62" i="22"/>
  <c r="AL62" i="22" s="1"/>
  <c r="Q65" i="10" s="1"/>
  <c r="M278" i="18"/>
  <c r="C281" i="22"/>
  <c r="AL281" i="22" s="1"/>
  <c r="Q283" i="10" s="1"/>
  <c r="M108" i="18"/>
  <c r="C110" i="22"/>
  <c r="AL110" i="22" s="1"/>
  <c r="Q113" i="10" s="1"/>
  <c r="N193" i="18"/>
  <c r="D195" i="22"/>
  <c r="AM195" i="22" s="1"/>
  <c r="R198" i="10" s="1"/>
  <c r="D198" i="10" s="1"/>
  <c r="M112" i="18"/>
  <c r="C114" i="22"/>
  <c r="AL114" i="22" s="1"/>
  <c r="Q117" i="10" s="1"/>
  <c r="M43" i="18"/>
  <c r="C45" i="22"/>
  <c r="AL45" i="22" s="1"/>
  <c r="Q48" i="10" s="1"/>
  <c r="M305" i="18"/>
  <c r="C312" i="22"/>
  <c r="AL312" i="22" s="1"/>
  <c r="Q310" i="10" s="1"/>
  <c r="M183" i="18"/>
  <c r="C185" i="22"/>
  <c r="AL185" i="22" s="1"/>
  <c r="Q188" i="10" s="1"/>
  <c r="M275" i="18"/>
  <c r="C278" i="22"/>
  <c r="AL278" i="22" s="1"/>
  <c r="Q280" i="10" s="1"/>
  <c r="M26" i="18"/>
  <c r="C28" i="22"/>
  <c r="AL28" i="22" s="1"/>
  <c r="Q31" i="10" s="1"/>
  <c r="M144" i="18"/>
  <c r="C147" i="22"/>
  <c r="AL147" i="22" s="1"/>
  <c r="Q149" i="10" s="1"/>
  <c r="M41" i="18"/>
  <c r="C43" i="22"/>
  <c r="AL43" i="22" s="1"/>
  <c r="Q46" i="10" s="1"/>
  <c r="M61" i="18"/>
  <c r="C63" i="22"/>
  <c r="AL63" i="22" s="1"/>
  <c r="Q66" i="10" s="1"/>
  <c r="M97" i="18"/>
  <c r="C99" i="22"/>
  <c r="AL99" i="22" s="1"/>
  <c r="Q102" i="10" s="1"/>
  <c r="M128" i="18"/>
  <c r="C130" i="22"/>
  <c r="AL130" i="22" s="1"/>
  <c r="Q133" i="10" s="1"/>
  <c r="M303" i="18"/>
  <c r="C306" i="22"/>
  <c r="AL306" i="22" s="1"/>
  <c r="Q308" i="10" s="1"/>
  <c r="M88" i="18"/>
  <c r="C90" i="22"/>
  <c r="AL90" i="22" s="1"/>
  <c r="Q93" i="10" s="1"/>
  <c r="M107" i="18"/>
  <c r="C109" i="22"/>
  <c r="AL109" i="22" s="1"/>
  <c r="Q111" i="10" s="1"/>
  <c r="M198" i="18"/>
  <c r="C201" i="22"/>
  <c r="AL201" i="22" s="1"/>
  <c r="Q203" i="10" s="1"/>
  <c r="M225" i="18"/>
  <c r="C228" i="22"/>
  <c r="AL228" i="22" s="1"/>
  <c r="Q230" i="10" s="1"/>
  <c r="M285" i="18"/>
  <c r="D288" i="22" s="1"/>
  <c r="AM288" i="22" s="1"/>
  <c r="R290" i="10" s="1"/>
  <c r="C288" i="22"/>
  <c r="AL288" i="22" s="1"/>
  <c r="Q290" i="10" s="1"/>
  <c r="M249" i="18"/>
  <c r="C252" i="22"/>
  <c r="AL252" i="22" s="1"/>
  <c r="Q254" i="10" s="1"/>
  <c r="M163" i="18"/>
  <c r="C164" i="22"/>
  <c r="AL164" i="22" s="1"/>
  <c r="Q167" i="10" s="1"/>
  <c r="M133" i="18"/>
  <c r="C135" i="22"/>
  <c r="AL135" i="22" s="1"/>
  <c r="Q138" i="10" s="1"/>
  <c r="M210" i="18"/>
  <c r="C213" i="22"/>
  <c r="AL213" i="22" s="1"/>
  <c r="Q215" i="10" s="1"/>
  <c r="M214" i="18"/>
  <c r="C217" i="22"/>
  <c r="AL217" i="22" s="1"/>
  <c r="Q219" i="10" s="1"/>
  <c r="N187" i="18"/>
  <c r="D189" i="22"/>
  <c r="AM189" i="22" s="1"/>
  <c r="R192" i="10" s="1"/>
  <c r="M297" i="18"/>
  <c r="C300" i="22"/>
  <c r="AL300" i="22" s="1"/>
  <c r="Q302" i="10" s="1"/>
  <c r="M273" i="18"/>
  <c r="C276" i="22"/>
  <c r="AL276" i="22" s="1"/>
  <c r="Q278" i="10" s="1"/>
  <c r="M35" i="18"/>
  <c r="C37" i="22"/>
  <c r="AL37" i="22" s="1"/>
  <c r="Q40" i="10" s="1"/>
  <c r="M74" i="18"/>
  <c r="C76" i="22"/>
  <c r="AL76" i="22" s="1"/>
  <c r="Q79" i="10" s="1"/>
  <c r="M169" i="18"/>
  <c r="C171" i="22"/>
  <c r="AL171" i="22" s="1"/>
  <c r="Q174" i="10" s="1"/>
  <c r="M13" i="18"/>
  <c r="C139" i="22"/>
  <c r="AL139" i="22" s="1"/>
  <c r="Q18" i="10" s="1"/>
  <c r="M100" i="18"/>
  <c r="C102" i="22"/>
  <c r="AL102" i="22" s="1"/>
  <c r="Q105" i="10" s="1"/>
  <c r="M254" i="18"/>
  <c r="C257" i="22"/>
  <c r="AL257" i="22" s="1"/>
  <c r="Q259" i="10" s="1"/>
  <c r="M237" i="18"/>
  <c r="C240" i="22"/>
  <c r="AL240" i="22" s="1"/>
  <c r="Q242" i="10" s="1"/>
  <c r="M98" i="18"/>
  <c r="C100" i="22"/>
  <c r="AL100" i="22" s="1"/>
  <c r="Q103" i="10" s="1"/>
  <c r="N6" i="18"/>
  <c r="D9" i="22"/>
  <c r="AM9" i="22" s="1"/>
  <c r="M93" i="18"/>
  <c r="C95" i="22"/>
  <c r="AL95" i="22" s="1"/>
  <c r="Q98" i="10" s="1"/>
  <c r="M252" i="18"/>
  <c r="C255" i="22"/>
  <c r="AL255" i="22" s="1"/>
  <c r="Q257" i="10" s="1"/>
  <c r="M240" i="18"/>
  <c r="C243" i="22"/>
  <c r="AL243" i="22" s="1"/>
  <c r="Q245" i="10" s="1"/>
  <c r="M17" i="18"/>
  <c r="C19" i="22"/>
  <c r="AL19" i="22" s="1"/>
  <c r="Q22" i="10" s="1"/>
  <c r="M105" i="18"/>
  <c r="C107" i="22"/>
  <c r="AL107" i="22" s="1"/>
  <c r="Q110" i="10" s="1"/>
  <c r="M301" i="18"/>
  <c r="C304" i="22"/>
  <c r="AL304" i="22" s="1"/>
  <c r="Q306" i="10" s="1"/>
  <c r="M154" i="18"/>
  <c r="C198" i="22"/>
  <c r="AL198" i="22" s="1"/>
  <c r="Q159" i="10" s="1"/>
  <c r="M120" i="18"/>
  <c r="C122" i="22"/>
  <c r="AL122" i="22" s="1"/>
  <c r="Q125" i="10" s="1"/>
  <c r="M21" i="18"/>
  <c r="C23" i="22"/>
  <c r="AL23" i="22" s="1"/>
  <c r="Q26" i="10" s="1"/>
  <c r="M223" i="18"/>
  <c r="C226" i="22"/>
  <c r="AL226" i="22" s="1"/>
  <c r="Q228" i="10" s="1"/>
  <c r="M129" i="18"/>
  <c r="C131" i="22"/>
  <c r="AL131" i="22" s="1"/>
  <c r="Q134" i="10" s="1"/>
  <c r="M181" i="18"/>
  <c r="C183" i="22"/>
  <c r="AL183" i="22" s="1"/>
  <c r="Q186" i="10" s="1"/>
  <c r="M251" i="18"/>
  <c r="C254" i="22"/>
  <c r="AL254" i="22" s="1"/>
  <c r="Q256" i="10" s="1"/>
  <c r="M186" i="18"/>
  <c r="C188" i="22"/>
  <c r="AL188" i="22" s="1"/>
  <c r="Q191" i="10" s="1"/>
  <c r="M32" i="18"/>
  <c r="C34" i="22"/>
  <c r="AL34" i="22" s="1"/>
  <c r="Q37" i="10" s="1"/>
  <c r="M52" i="18"/>
  <c r="C54" i="22"/>
  <c r="AL54" i="22" s="1"/>
  <c r="Q57" i="10" s="1"/>
  <c r="M42" i="18"/>
  <c r="C44" i="22"/>
  <c r="AL44" i="22" s="1"/>
  <c r="Q47" i="10" s="1"/>
  <c r="M266" i="18"/>
  <c r="C269" i="22"/>
  <c r="AL269" i="22" s="1"/>
  <c r="Q271" i="10" s="1"/>
  <c r="M126" i="18"/>
  <c r="C128" i="22"/>
  <c r="AL128" i="22" s="1"/>
  <c r="Q131" i="10" s="1"/>
  <c r="M242" i="18"/>
  <c r="C245" i="22"/>
  <c r="AL245" i="22" s="1"/>
  <c r="Q247" i="10" s="1"/>
  <c r="M76" i="18"/>
  <c r="C78" i="22"/>
  <c r="AL78" i="22" s="1"/>
  <c r="Q81" i="10" s="1"/>
  <c r="M123" i="18"/>
  <c r="C125" i="22"/>
  <c r="AL125" i="22" s="1"/>
  <c r="Q128" i="10" s="1"/>
  <c r="M38" i="18"/>
  <c r="C40" i="22"/>
  <c r="AL40" i="22" s="1"/>
  <c r="Q43" i="10" s="1"/>
  <c r="M138" i="18"/>
  <c r="C141" i="22"/>
  <c r="AL141" i="22" s="1"/>
  <c r="Q143" i="10" s="1"/>
  <c r="M72" i="18"/>
  <c r="C74" i="22"/>
  <c r="AL74" i="22" s="1"/>
  <c r="Q77" i="10" s="1"/>
  <c r="M206" i="18"/>
  <c r="C208" i="22"/>
  <c r="AL208" i="22" s="1"/>
  <c r="Q211" i="10" s="1"/>
  <c r="M130" i="18"/>
  <c r="C132" i="22"/>
  <c r="AL132" i="22" s="1"/>
  <c r="Q135" i="10" s="1"/>
  <c r="M208" i="18"/>
  <c r="C210" i="22"/>
  <c r="AL210" i="22" s="1"/>
  <c r="Q213" i="10" s="1"/>
  <c r="M253" i="18"/>
  <c r="C256" i="22"/>
  <c r="AL256" i="22" s="1"/>
  <c r="Q258" i="10" s="1"/>
  <c r="M89" i="18"/>
  <c r="C91" i="22"/>
  <c r="AL91" i="22" s="1"/>
  <c r="Q94" i="10" s="1"/>
  <c r="M90" i="18"/>
  <c r="C92" i="22"/>
  <c r="AL92" i="22" s="1"/>
  <c r="Q95" i="10" s="1"/>
  <c r="O192" i="18"/>
  <c r="F193" i="22" s="1"/>
  <c r="AO193" i="22" s="1"/>
  <c r="T196" i="10" s="1"/>
  <c r="E193" i="22"/>
  <c r="P192" i="18"/>
  <c r="G193" i="22" s="1"/>
  <c r="AP193" i="22" s="1"/>
  <c r="U196" i="10" s="1"/>
  <c r="N121" i="18"/>
  <c r="D123" i="22"/>
  <c r="AM123" i="22" s="1"/>
  <c r="R126" i="10" s="1"/>
  <c r="M227" i="18"/>
  <c r="C230" i="22"/>
  <c r="AL230" i="22" s="1"/>
  <c r="Q232" i="10" s="1"/>
  <c r="M155" i="18"/>
  <c r="C157" i="22"/>
  <c r="AL157" i="22" s="1"/>
  <c r="Q160" i="10" s="1"/>
  <c r="M113" i="18"/>
  <c r="C115" i="22"/>
  <c r="AL115" i="22" s="1"/>
  <c r="Q118" i="10" s="1"/>
  <c r="M207" i="18"/>
  <c r="C209" i="22"/>
  <c r="AL209" i="22" s="1"/>
  <c r="Q212" i="10" s="1"/>
  <c r="M269" i="18"/>
  <c r="C272" i="22"/>
  <c r="AL272" i="22" s="1"/>
  <c r="Q274" i="10" s="1"/>
  <c r="M271" i="18"/>
  <c r="C274" i="22"/>
  <c r="AL274" i="22" s="1"/>
  <c r="Q276" i="10" s="1"/>
  <c r="M244" i="18"/>
  <c r="C247" i="22"/>
  <c r="AL247" i="22" s="1"/>
  <c r="Q249" i="10" s="1"/>
  <c r="M80" i="18"/>
  <c r="C82" i="22"/>
  <c r="AL82" i="22" s="1"/>
  <c r="Q85" i="10" s="1"/>
  <c r="M188" i="18"/>
  <c r="C190" i="22"/>
  <c r="AL190" i="22" s="1"/>
  <c r="Q193" i="10" s="1"/>
  <c r="M82" i="18"/>
  <c r="C84" i="22"/>
  <c r="AL84" i="22" s="1"/>
  <c r="Q87" i="10" s="1"/>
  <c r="M34" i="18"/>
  <c r="C36" i="22"/>
  <c r="AL36" i="22" s="1"/>
  <c r="Q39" i="10" s="1"/>
  <c r="M70" i="18"/>
  <c r="C72" i="22"/>
  <c r="AL72" i="22" s="1"/>
  <c r="Q75" i="10" s="1"/>
  <c r="M211" i="18"/>
  <c r="C214" i="22"/>
  <c r="AL214" i="22" s="1"/>
  <c r="Q216" i="10" s="1"/>
  <c r="M292" i="18"/>
  <c r="C295" i="22"/>
  <c r="AL295" i="22" s="1"/>
  <c r="Q297" i="10" s="1"/>
  <c r="M145" i="18"/>
  <c r="C148" i="22"/>
  <c r="AL148" i="22" s="1"/>
  <c r="Q150" i="10" s="1"/>
  <c r="M94" i="18"/>
  <c r="C96" i="22"/>
  <c r="AL96" i="22" s="1"/>
  <c r="Q99" i="10" s="1"/>
  <c r="M170" i="18"/>
  <c r="C172" i="22"/>
  <c r="AL172" i="22" s="1"/>
  <c r="Q175" i="10" s="1"/>
  <c r="M92" i="18"/>
  <c r="C94" i="22"/>
  <c r="AL94" i="22" s="1"/>
  <c r="Q97" i="10" s="1"/>
  <c r="M47" i="18"/>
  <c r="C49" i="22"/>
  <c r="AL49" i="22" s="1"/>
  <c r="Q52" i="10" s="1"/>
  <c r="M9" i="18"/>
  <c r="C12" i="22"/>
  <c r="AL12" i="22" s="1"/>
  <c r="Q14" i="10" s="1"/>
  <c r="M149" i="18"/>
  <c r="C152" i="22"/>
  <c r="AL152" i="22" s="1"/>
  <c r="Q154" i="10" s="1"/>
  <c r="M55" i="18"/>
  <c r="C57" i="22"/>
  <c r="AL57" i="22" s="1"/>
  <c r="Q60" i="10" s="1"/>
  <c r="M36" i="18"/>
  <c r="C38" i="22"/>
  <c r="AL38" i="22" s="1"/>
  <c r="Q41" i="10" s="1"/>
  <c r="M12" i="18"/>
  <c r="C15" i="22"/>
  <c r="AL15" i="22" s="1"/>
  <c r="Q17" i="10" s="1"/>
  <c r="N236" i="18"/>
  <c r="D239" i="22"/>
  <c r="AM239" i="22" s="1"/>
  <c r="R241" i="10" s="1"/>
  <c r="M81" i="18"/>
  <c r="C83" i="22"/>
  <c r="AL83" i="22" s="1"/>
  <c r="Q86" i="10" s="1"/>
  <c r="M143" i="18"/>
  <c r="C146" i="22"/>
  <c r="AL146" i="22" s="1"/>
  <c r="Q148" i="10" s="1"/>
  <c r="M283" i="18"/>
  <c r="C286" i="22"/>
  <c r="AL286" i="22" s="1"/>
  <c r="Q288" i="10" s="1"/>
  <c r="M31" i="18"/>
  <c r="C33" i="22"/>
  <c r="AL33" i="22" s="1"/>
  <c r="Q36" i="10" s="1"/>
  <c r="M216" i="18"/>
  <c r="C219" i="22"/>
  <c r="AL219" i="22" s="1"/>
  <c r="Q221" i="10" s="1"/>
  <c r="M246" i="18"/>
  <c r="C249" i="22"/>
  <c r="AL249" i="22" s="1"/>
  <c r="Q251" i="10" s="1"/>
  <c r="M77" i="18"/>
  <c r="C79" i="22"/>
  <c r="AL79" i="22" s="1"/>
  <c r="Q82" i="10" s="1"/>
  <c r="M263" i="18"/>
  <c r="C266" i="22"/>
  <c r="AL266" i="22" s="1"/>
  <c r="Q268" i="10" s="1"/>
  <c r="M118" i="18"/>
  <c r="C120" i="22"/>
  <c r="AL120" i="22" s="1"/>
  <c r="Q123" i="10" s="1"/>
  <c r="M119" i="18"/>
  <c r="C121" i="22"/>
  <c r="AL121" i="22" s="1"/>
  <c r="Q124" i="10" s="1"/>
  <c r="M135" i="18"/>
  <c r="C137" i="22"/>
  <c r="AL137" i="22" s="1"/>
  <c r="Q140" i="10" s="1"/>
  <c r="M78" i="18"/>
  <c r="C80" i="22"/>
  <c r="AL80" i="22" s="1"/>
  <c r="Q83" i="10" s="1"/>
  <c r="M298" i="18"/>
  <c r="C301" i="22"/>
  <c r="AL301" i="22" s="1"/>
  <c r="Q303" i="10" s="1"/>
  <c r="M228" i="18"/>
  <c r="C231" i="22"/>
  <c r="AL231" i="22" s="1"/>
  <c r="Q233" i="10" s="1"/>
  <c r="M102" i="18"/>
  <c r="C104" i="22"/>
  <c r="AL104" i="22" s="1"/>
  <c r="Q107" i="10" s="1"/>
  <c r="M299" i="18"/>
  <c r="C302" i="22"/>
  <c r="AL302" i="22" s="1"/>
  <c r="Q304" i="10" s="1"/>
  <c r="M247" i="18"/>
  <c r="C250" i="22"/>
  <c r="AL250" i="22" s="1"/>
  <c r="Q252" i="10" s="1"/>
  <c r="M168" i="18"/>
  <c r="C170" i="22"/>
  <c r="AL170" i="22" s="1"/>
  <c r="Q173" i="10" s="1"/>
  <c r="M127" i="18"/>
  <c r="C129" i="22"/>
  <c r="AL129" i="22" s="1"/>
  <c r="Q132" i="10" s="1"/>
  <c r="M226" i="18"/>
  <c r="C229" i="22"/>
  <c r="AL229" i="22" s="1"/>
  <c r="Q231" i="10" s="1"/>
  <c r="N293" i="18"/>
  <c r="D296" i="22"/>
  <c r="AM296" i="22" s="1"/>
  <c r="R298" i="10" s="1"/>
  <c r="M212" i="18"/>
  <c r="C215" i="22"/>
  <c r="AL215" i="22" s="1"/>
  <c r="Q217" i="10" s="1"/>
  <c r="M199" i="18"/>
  <c r="C202" i="22"/>
  <c r="AL202" i="22" s="1"/>
  <c r="Q204" i="10" s="1"/>
  <c r="M295" i="18"/>
  <c r="C298" i="22"/>
  <c r="AL298" i="22" s="1"/>
  <c r="Q300" i="10" s="1"/>
  <c r="M235" i="18"/>
  <c r="C238" i="22"/>
  <c r="AL238" i="22" s="1"/>
  <c r="Q240" i="10" s="1"/>
  <c r="M69" i="18"/>
  <c r="C71" i="22"/>
  <c r="AL71" i="22" s="1"/>
  <c r="Q74" i="10" s="1"/>
  <c r="M289" i="18"/>
  <c r="C292" i="22"/>
  <c r="AL292" i="22" s="1"/>
  <c r="Q294" i="10" s="1"/>
  <c r="M215" i="18"/>
  <c r="C218" i="22"/>
  <c r="AL218" i="22" s="1"/>
  <c r="Q220" i="10" s="1"/>
  <c r="M190" i="18"/>
  <c r="C191" i="22"/>
  <c r="AL191" i="22" s="1"/>
  <c r="Q194" i="10" s="1"/>
  <c r="M114" i="18"/>
  <c r="C116" i="22"/>
  <c r="AL116" i="22" s="1"/>
  <c r="Q119" i="10" s="1"/>
  <c r="M256" i="18"/>
  <c r="D259" i="22" s="1"/>
  <c r="AM259" i="22" s="1"/>
  <c r="R261" i="10" s="1"/>
  <c r="C259" i="22"/>
  <c r="AL259" i="22" s="1"/>
  <c r="Q261" i="10" s="1"/>
  <c r="M221" i="18"/>
  <c r="C224" i="22"/>
  <c r="AL224" i="22" s="1"/>
  <c r="Q226" i="10" s="1"/>
  <c r="M63" i="18"/>
  <c r="C65" i="22"/>
  <c r="AL65" i="22" s="1"/>
  <c r="Q68" i="10" s="1"/>
  <c r="M173" i="18"/>
  <c r="C175" i="22"/>
  <c r="AL175" i="22" s="1"/>
  <c r="Q178" i="10" s="1"/>
  <c r="M164" i="18"/>
  <c r="C166" i="22"/>
  <c r="AL166" i="22" s="1"/>
  <c r="Q169" i="10" s="1"/>
  <c r="M64" i="18"/>
  <c r="C66" i="22"/>
  <c r="AL66" i="22" s="1"/>
  <c r="Q69" i="10" s="1"/>
  <c r="M157" i="18"/>
  <c r="C159" i="22"/>
  <c r="AL159" i="22" s="1"/>
  <c r="Q162" i="10" s="1"/>
  <c r="M171" i="18"/>
  <c r="C173" i="22"/>
  <c r="AL173" i="22" s="1"/>
  <c r="Q176" i="10" s="1"/>
  <c r="M8" i="18"/>
  <c r="C11" i="22"/>
  <c r="AL11" i="22" s="1"/>
  <c r="Q13" i="10" s="1"/>
  <c r="N7" i="18"/>
  <c r="D10" i="22"/>
  <c r="AM10" i="22" s="1"/>
  <c r="R12" i="10" s="1"/>
  <c r="M22" i="18"/>
  <c r="M201" i="18"/>
  <c r="N304" i="18"/>
  <c r="M296" i="18"/>
  <c r="N238" i="18"/>
  <c r="M110" i="18"/>
  <c r="N285" i="18"/>
  <c r="M122" i="18"/>
  <c r="P317" i="9"/>
  <c r="O5" i="18"/>
  <c r="P276" i="9"/>
  <c r="P308" i="9"/>
  <c r="P254" i="9"/>
  <c r="P263" i="9"/>
  <c r="P262" i="9"/>
  <c r="P261" i="9"/>
  <c r="P273" i="9"/>
  <c r="P259" i="9"/>
  <c r="P301" i="9"/>
  <c r="P274" i="9"/>
  <c r="P268" i="9"/>
  <c r="P313" i="9"/>
  <c r="P197" i="9"/>
  <c r="Q197" i="9" s="1"/>
  <c r="P275" i="9"/>
  <c r="P269" i="9"/>
  <c r="I219" i="18"/>
  <c r="P224" i="9"/>
  <c r="I222" i="18"/>
  <c r="P227" i="9"/>
  <c r="I206" i="18"/>
  <c r="I31" i="18"/>
  <c r="P226" i="9"/>
  <c r="I276" i="18"/>
  <c r="I243" i="18"/>
  <c r="P248" i="9"/>
  <c r="I56" i="18"/>
  <c r="I205" i="18"/>
  <c r="P210" i="9"/>
  <c r="I300" i="18"/>
  <c r="I65" i="18"/>
  <c r="I95" i="18"/>
  <c r="I221" i="18"/>
  <c r="I59" i="18"/>
  <c r="I165" i="18"/>
  <c r="I141" i="18"/>
  <c r="I105" i="18"/>
  <c r="P36" i="9"/>
  <c r="P260" i="9"/>
  <c r="P172" i="9"/>
  <c r="P17" i="9"/>
  <c r="P238" i="9"/>
  <c r="P221" i="9"/>
  <c r="P234" i="9"/>
  <c r="P14" i="9"/>
  <c r="P229" i="9"/>
  <c r="P204" i="9"/>
  <c r="P18" i="9"/>
  <c r="P206" i="9"/>
  <c r="P71" i="9"/>
  <c r="P315" i="9"/>
  <c r="Q315" i="9" s="1"/>
  <c r="P209" i="9"/>
  <c r="P16" i="9"/>
  <c r="P233" i="9"/>
  <c r="P201" i="9"/>
  <c r="P271" i="9"/>
  <c r="P101" i="9"/>
  <c r="P111" i="9"/>
  <c r="P249" i="9"/>
  <c r="P270" i="9"/>
  <c r="P272" i="9"/>
  <c r="P252" i="9"/>
  <c r="P246" i="9"/>
  <c r="P228" i="9"/>
  <c r="P236" i="9"/>
  <c r="P147" i="9"/>
  <c r="P292" i="9"/>
  <c r="P239" i="9"/>
  <c r="P251" i="9"/>
  <c r="P13" i="9"/>
  <c r="P222" i="9"/>
  <c r="P225" i="9"/>
  <c r="P205" i="9"/>
  <c r="P208" i="9"/>
  <c r="P258" i="9"/>
  <c r="P191" i="9"/>
  <c r="P264" i="9"/>
  <c r="P11" i="9"/>
  <c r="P171" i="9"/>
  <c r="P85" i="9"/>
  <c r="P240" i="9"/>
  <c r="P255" i="9"/>
  <c r="P230" i="9"/>
  <c r="P70" i="9"/>
  <c r="P250" i="9"/>
  <c r="P256" i="9"/>
  <c r="P37" i="9"/>
  <c r="P257" i="9"/>
  <c r="P247" i="9"/>
  <c r="P124" i="9"/>
  <c r="P65" i="9"/>
  <c r="P100" i="9"/>
  <c r="P112" i="9"/>
  <c r="P223" i="9"/>
  <c r="P319" i="9"/>
  <c r="Q319" i="9" s="1"/>
  <c r="P62" i="9"/>
  <c r="P265" i="9"/>
  <c r="P244" i="9"/>
  <c r="P237" i="9"/>
  <c r="P232" i="9"/>
  <c r="P34" i="9"/>
  <c r="P280" i="9"/>
  <c r="P202" i="9"/>
  <c r="P63" i="9"/>
  <c r="P231" i="9"/>
  <c r="P245" i="9"/>
  <c r="P266" i="9"/>
  <c r="P203" i="9"/>
  <c r="P235" i="9"/>
  <c r="P207" i="9"/>
  <c r="P297" i="9"/>
  <c r="P242" i="9"/>
  <c r="P88" i="9"/>
  <c r="P243" i="9"/>
  <c r="AC41" i="13"/>
  <c r="I237" i="18"/>
  <c r="I66" i="18"/>
  <c r="I250" i="18"/>
  <c r="I157" i="18"/>
  <c r="I130" i="18"/>
  <c r="I241" i="18"/>
  <c r="I152" i="18"/>
  <c r="I43" i="18"/>
  <c r="I296" i="18"/>
  <c r="I200" i="18"/>
  <c r="I69" i="18"/>
  <c r="I280" i="18"/>
  <c r="I81" i="18"/>
  <c r="I158" i="18"/>
  <c r="I47" i="18"/>
  <c r="I233" i="18"/>
  <c r="I204" i="18"/>
  <c r="I128" i="18"/>
  <c r="I239" i="18"/>
  <c r="I297" i="18"/>
  <c r="I62" i="18"/>
  <c r="I304" i="18"/>
  <c r="I82" i="18"/>
  <c r="I168" i="18"/>
  <c r="I225" i="18"/>
  <c r="I37" i="18"/>
  <c r="I91" i="18"/>
  <c r="I208" i="18"/>
  <c r="I159" i="18"/>
  <c r="I153" i="18"/>
  <c r="I170" i="18"/>
  <c r="I8" i="18"/>
  <c r="I234" i="18"/>
  <c r="I29" i="18"/>
  <c r="I203" i="18"/>
  <c r="I51" i="18"/>
  <c r="I104" i="18"/>
  <c r="I11" i="18"/>
  <c r="I176" i="18"/>
  <c r="I172" i="18"/>
  <c r="I182" i="18"/>
  <c r="I131" i="18"/>
  <c r="I224" i="18"/>
  <c r="I279" i="18"/>
  <c r="I109" i="18"/>
  <c r="I126" i="18"/>
  <c r="I70" i="18"/>
  <c r="I247" i="18"/>
  <c r="I120" i="18"/>
  <c r="I194" i="18"/>
  <c r="I227" i="18"/>
  <c r="I154" i="18"/>
  <c r="I27" i="18"/>
  <c r="I179" i="18"/>
  <c r="I207" i="18"/>
  <c r="I58" i="18"/>
  <c r="I209" i="18"/>
  <c r="I238" i="18"/>
  <c r="I54" i="18"/>
  <c r="I283" i="18"/>
  <c r="I307" i="18"/>
  <c r="I94" i="18"/>
  <c r="I291" i="18"/>
  <c r="I288" i="18"/>
  <c r="I281" i="18"/>
  <c r="I145" i="18"/>
  <c r="I110" i="18"/>
  <c r="I88" i="18"/>
  <c r="I189" i="18"/>
  <c r="I76" i="18"/>
  <c r="I68" i="18"/>
  <c r="I289" i="18"/>
  <c r="I63" i="18"/>
  <c r="I41" i="18"/>
  <c r="I232" i="18"/>
  <c r="I299" i="18"/>
  <c r="I248" i="18"/>
  <c r="I228" i="18"/>
  <c r="I12" i="18"/>
  <c r="I40" i="18"/>
  <c r="I148" i="18"/>
  <c r="I166" i="18"/>
  <c r="I282" i="18"/>
  <c r="I113" i="18"/>
  <c r="I217" i="18"/>
  <c r="I44" i="18"/>
  <c r="I186" i="18"/>
  <c r="I255" i="18"/>
  <c r="I257" i="18"/>
  <c r="I268" i="18"/>
  <c r="I162" i="18"/>
  <c r="I28" i="18"/>
  <c r="I267" i="18"/>
  <c r="I202" i="18"/>
  <c r="I36" i="18"/>
  <c r="I97" i="18"/>
  <c r="I263" i="18"/>
  <c r="I218" i="18"/>
  <c r="I210" i="18"/>
  <c r="I67" i="18"/>
  <c r="I46" i="18"/>
  <c r="I138" i="18"/>
  <c r="I89" i="18"/>
  <c r="I215" i="18"/>
  <c r="I273" i="18"/>
  <c r="I220" i="18"/>
  <c r="I72" i="18"/>
  <c r="I139" i="18"/>
  <c r="I223" i="18"/>
  <c r="I57" i="18"/>
  <c r="I301" i="18"/>
  <c r="I17" i="18"/>
  <c r="I24" i="18"/>
  <c r="I190" i="18"/>
  <c r="I111" i="18"/>
  <c r="I14" i="18"/>
  <c r="I160" i="18"/>
  <c r="I303" i="18"/>
  <c r="I134" i="18"/>
  <c r="I99" i="18"/>
  <c r="I198" i="18"/>
  <c r="I191" i="18"/>
  <c r="I294" i="18"/>
  <c r="I183" i="18"/>
  <c r="I118" i="18"/>
  <c r="I181" i="18"/>
  <c r="I286" i="18"/>
  <c r="I175" i="18"/>
  <c r="I71" i="18"/>
  <c r="I116" i="18"/>
  <c r="I156" i="18"/>
  <c r="I226" i="18"/>
  <c r="I53" i="18"/>
  <c r="I55" i="18"/>
  <c r="I92" i="18"/>
  <c r="I305" i="18"/>
  <c r="I164" i="18"/>
  <c r="I142" i="18"/>
  <c r="I290" i="18"/>
  <c r="I308" i="18"/>
  <c r="I100" i="18"/>
  <c r="I122" i="18"/>
  <c r="I177" i="18"/>
  <c r="I83" i="18"/>
  <c r="I242" i="18"/>
  <c r="I169" i="18"/>
  <c r="I115" i="18"/>
  <c r="I119" i="18"/>
  <c r="I125" i="18"/>
  <c r="I278" i="18"/>
  <c r="I106" i="18"/>
  <c r="I38" i="18"/>
  <c r="I147" i="18"/>
  <c r="I201" i="18"/>
  <c r="I75" i="18"/>
  <c r="I73" i="18"/>
  <c r="I235" i="18"/>
  <c r="I150" i="18"/>
  <c r="I90" i="18"/>
  <c r="I21" i="18"/>
  <c r="I87" i="18"/>
  <c r="I151" i="18"/>
  <c r="I49" i="18"/>
  <c r="I277" i="18"/>
  <c r="I197" i="18"/>
  <c r="I25" i="18"/>
  <c r="I79" i="18"/>
  <c r="I19" i="18"/>
  <c r="I33" i="18"/>
  <c r="I188" i="18"/>
  <c r="I173" i="18"/>
  <c r="I129" i="18"/>
  <c r="I78" i="18"/>
  <c r="I9" i="18"/>
  <c r="I137" i="18"/>
  <c r="I146" i="18"/>
  <c r="I274" i="18"/>
  <c r="I114" i="18"/>
  <c r="I74" i="18"/>
  <c r="I13" i="18"/>
  <c r="I136" i="18"/>
  <c r="I143" i="18"/>
  <c r="I26" i="18"/>
  <c r="I196" i="18"/>
  <c r="I22" i="18"/>
  <c r="I117" i="18"/>
  <c r="I112" i="18"/>
  <c r="I240" i="18"/>
  <c r="I265" i="18"/>
  <c r="I214" i="18"/>
  <c r="I98" i="18"/>
  <c r="I132" i="18"/>
  <c r="I50" i="18"/>
  <c r="I252" i="18"/>
  <c r="I124" i="18"/>
  <c r="I96" i="18"/>
  <c r="I216" i="18"/>
  <c r="I32" i="18"/>
  <c r="I258" i="18"/>
  <c r="I272" i="18"/>
  <c r="I185" i="18"/>
  <c r="I287" i="18"/>
  <c r="I229" i="18"/>
  <c r="I93" i="18"/>
  <c r="I60" i="18"/>
  <c r="I270" i="18"/>
  <c r="I231" i="18"/>
  <c r="I213" i="18"/>
  <c r="I133" i="18"/>
  <c r="I161" i="18"/>
  <c r="I254" i="18"/>
  <c r="I35" i="18"/>
  <c r="I298" i="18"/>
  <c r="I260" i="18"/>
  <c r="I171" i="18"/>
  <c r="I123" i="18"/>
  <c r="I271" i="18"/>
  <c r="I180" i="18"/>
  <c r="I48" i="18"/>
  <c r="I127" i="18"/>
  <c r="I249" i="18"/>
  <c r="I266" i="18"/>
  <c r="I16" i="18"/>
  <c r="I246" i="18"/>
  <c r="I102" i="18"/>
  <c r="I178" i="18"/>
  <c r="I149" i="18"/>
  <c r="I52" i="18"/>
  <c r="I245" i="18"/>
  <c r="I264" i="18"/>
  <c r="I61" i="18"/>
  <c r="I23" i="18"/>
  <c r="I15" i="18"/>
  <c r="I144" i="18"/>
  <c r="I174" i="18"/>
  <c r="I77" i="18"/>
  <c r="I34" i="18"/>
  <c r="I251" i="18"/>
  <c r="I259" i="18"/>
  <c r="I85" i="18"/>
  <c r="I253" i="18"/>
  <c r="I195" i="18"/>
  <c r="I269" i="18"/>
  <c r="I244" i="18"/>
  <c r="I167" i="18"/>
  <c r="I211" i="18"/>
  <c r="I199" i="18"/>
  <c r="I108" i="18"/>
  <c r="I212" i="18"/>
  <c r="I80" i="18"/>
  <c r="I295" i="18"/>
  <c r="I135" i="18"/>
  <c r="I155" i="18"/>
  <c r="I275" i="18"/>
  <c r="I256" i="18"/>
  <c r="I45" i="18"/>
  <c r="I285" i="18"/>
  <c r="I163" i="18"/>
  <c r="I302" i="18"/>
  <c r="I18" i="18"/>
  <c r="I86" i="18"/>
  <c r="I103" i="18"/>
  <c r="I64" i="18"/>
  <c r="I261" i="18"/>
  <c r="I140" i="18"/>
  <c r="I39" i="18"/>
  <c r="I262" i="18"/>
  <c r="I107" i="18"/>
  <c r="I184" i="18"/>
  <c r="I20" i="18"/>
  <c r="I284" i="18"/>
  <c r="I292" i="18"/>
  <c r="I84" i="18"/>
  <c r="I230" i="18"/>
  <c r="I42" i="18"/>
  <c r="P101" i="18" l="1"/>
  <c r="AE193" i="22"/>
  <c r="AN193" i="22"/>
  <c r="S196" i="10" s="1"/>
  <c r="N189" i="18"/>
  <c r="N256" i="18"/>
  <c r="O121" i="18"/>
  <c r="F123" i="22" s="1"/>
  <c r="AO123" i="22" s="1"/>
  <c r="T126" i="10" s="1"/>
  <c r="E123" i="22"/>
  <c r="AN123" i="22" s="1"/>
  <c r="S126" i="10" s="1"/>
  <c r="N287" i="18"/>
  <c r="D290" i="22"/>
  <c r="AM290" i="22" s="1"/>
  <c r="R292" i="10" s="1"/>
  <c r="N160" i="18"/>
  <c r="D162" i="22"/>
  <c r="AM162" i="22" s="1"/>
  <c r="R165" i="10" s="1"/>
  <c r="O189" i="18"/>
  <c r="F194" i="22" s="1"/>
  <c r="AO194" i="22" s="1"/>
  <c r="T197" i="10" s="1"/>
  <c r="E194" i="22"/>
  <c r="AN194" i="22" s="1"/>
  <c r="S197" i="10" s="1"/>
  <c r="N42" i="18"/>
  <c r="D44" i="22"/>
  <c r="AM44" i="22" s="1"/>
  <c r="R47" i="10" s="1"/>
  <c r="N79" i="18"/>
  <c r="D81" i="22"/>
  <c r="AM81" i="22" s="1"/>
  <c r="R84" i="10" s="1"/>
  <c r="N235" i="18"/>
  <c r="D238" i="22"/>
  <c r="AM238" i="22" s="1"/>
  <c r="R240" i="10" s="1"/>
  <c r="N149" i="18"/>
  <c r="D152" i="22"/>
  <c r="AM152" i="22" s="1"/>
  <c r="R154" i="10" s="1"/>
  <c r="N211" i="18"/>
  <c r="D214" i="22"/>
  <c r="AM214" i="22" s="1"/>
  <c r="R216" i="10" s="1"/>
  <c r="N269" i="18"/>
  <c r="D272" i="22"/>
  <c r="AM272" i="22" s="1"/>
  <c r="R274" i="10" s="1"/>
  <c r="N138" i="18"/>
  <c r="D141" i="22"/>
  <c r="AM141" i="22" s="1"/>
  <c r="R143" i="10" s="1"/>
  <c r="N40" i="18"/>
  <c r="D42" i="22"/>
  <c r="AM42" i="22" s="1"/>
  <c r="R45" i="10" s="1"/>
  <c r="N24" i="18"/>
  <c r="D26" i="22"/>
  <c r="AM26" i="22" s="1"/>
  <c r="R29" i="10" s="1"/>
  <c r="N39" i="18"/>
  <c r="D41" i="22"/>
  <c r="AM41" i="22" s="1"/>
  <c r="R44" i="10" s="1"/>
  <c r="N213" i="18"/>
  <c r="D216" i="22"/>
  <c r="AM216" i="22" s="1"/>
  <c r="R218" i="10" s="1"/>
  <c r="N250" i="18"/>
  <c r="D253" i="22"/>
  <c r="AM253" i="22" s="1"/>
  <c r="R255" i="10" s="1"/>
  <c r="N67" i="18"/>
  <c r="D69" i="22"/>
  <c r="AM69" i="22" s="1"/>
  <c r="R72" i="10" s="1"/>
  <c r="N124" i="18"/>
  <c r="D126" i="22"/>
  <c r="AM126" i="22" s="1"/>
  <c r="R129" i="10" s="1"/>
  <c r="N282" i="18"/>
  <c r="D285" i="22"/>
  <c r="AM285" i="22" s="1"/>
  <c r="R287" i="10" s="1"/>
  <c r="N59" i="18"/>
  <c r="D61" i="22"/>
  <c r="AM61" i="22" s="1"/>
  <c r="R64" i="10" s="1"/>
  <c r="N307" i="18"/>
  <c r="D309" i="22"/>
  <c r="AM309" i="22" s="1"/>
  <c r="R312" i="10" s="1"/>
  <c r="N210" i="18"/>
  <c r="D213" i="22"/>
  <c r="AM213" i="22" s="1"/>
  <c r="R215" i="10" s="1"/>
  <c r="N88" i="18"/>
  <c r="D90" i="22"/>
  <c r="AM90" i="22" s="1"/>
  <c r="R93" i="10" s="1"/>
  <c r="N275" i="18"/>
  <c r="D278" i="22"/>
  <c r="AM278" i="22" s="1"/>
  <c r="R280" i="10" s="1"/>
  <c r="N108" i="18"/>
  <c r="D110" i="22"/>
  <c r="AM110" i="22" s="1"/>
  <c r="R113" i="10" s="1"/>
  <c r="N85" i="18"/>
  <c r="D87" i="22"/>
  <c r="AM87" i="22" s="1"/>
  <c r="R90" i="10" s="1"/>
  <c r="N255" i="18"/>
  <c r="D258" i="22"/>
  <c r="AM258" i="22" s="1"/>
  <c r="R260" i="10" s="1"/>
  <c r="N290" i="18"/>
  <c r="D293" i="22"/>
  <c r="AM293" i="22" s="1"/>
  <c r="R295" i="10" s="1"/>
  <c r="N57" i="18"/>
  <c r="D59" i="22"/>
  <c r="AM59" i="22" s="1"/>
  <c r="R62" i="10" s="1"/>
  <c r="N195" i="18"/>
  <c r="D197" i="22"/>
  <c r="AM197" i="22" s="1"/>
  <c r="R200" i="10" s="1"/>
  <c r="N45" i="18"/>
  <c r="D47" i="22"/>
  <c r="AM47" i="22" s="1"/>
  <c r="R50" i="10" s="1"/>
  <c r="N140" i="18"/>
  <c r="D143" i="22"/>
  <c r="AM143" i="22" s="1"/>
  <c r="R145" i="10" s="1"/>
  <c r="N117" i="18"/>
  <c r="D119" i="22"/>
  <c r="AM119" i="22" s="1"/>
  <c r="R122" i="10" s="1"/>
  <c r="N259" i="18"/>
  <c r="D262" i="22"/>
  <c r="AM262" i="22" s="1"/>
  <c r="R264" i="10" s="1"/>
  <c r="N118" i="18"/>
  <c r="D120" i="22"/>
  <c r="AM120" i="22" s="1"/>
  <c r="R123" i="10" s="1"/>
  <c r="N52" i="18"/>
  <c r="D54" i="22"/>
  <c r="AM54" i="22" s="1"/>
  <c r="R57" i="10" s="1"/>
  <c r="N93" i="18"/>
  <c r="D95" i="22"/>
  <c r="AM95" i="22" s="1"/>
  <c r="R98" i="10" s="1"/>
  <c r="N169" i="18"/>
  <c r="D171" i="22"/>
  <c r="AM171" i="22" s="1"/>
  <c r="R174" i="10" s="1"/>
  <c r="N261" i="18"/>
  <c r="D264" i="22"/>
  <c r="AM264" i="22" s="1"/>
  <c r="R266" i="10" s="1"/>
  <c r="N87" i="18"/>
  <c r="D89" i="22"/>
  <c r="AM89" i="22" s="1"/>
  <c r="R92" i="10" s="1"/>
  <c r="O285" i="18"/>
  <c r="F288" i="22" s="1"/>
  <c r="AO288" i="22" s="1"/>
  <c r="T290" i="10" s="1"/>
  <c r="E288" i="22"/>
  <c r="AN288" i="22" s="1"/>
  <c r="S290" i="10" s="1"/>
  <c r="O7" i="18"/>
  <c r="F10" i="22" s="1"/>
  <c r="AO10" i="22" s="1"/>
  <c r="T12" i="10" s="1"/>
  <c r="E10" i="22"/>
  <c r="AN10" i="22" s="1"/>
  <c r="S12" i="10" s="1"/>
  <c r="N221" i="18"/>
  <c r="D224" i="22"/>
  <c r="AM224" i="22" s="1"/>
  <c r="R226" i="10" s="1"/>
  <c r="N295" i="18"/>
  <c r="D298" i="22"/>
  <c r="AM298" i="22" s="1"/>
  <c r="R300" i="10" s="1"/>
  <c r="N143" i="18"/>
  <c r="D146" i="22"/>
  <c r="AM146" i="22" s="1"/>
  <c r="R148" i="10" s="1"/>
  <c r="N110" i="18"/>
  <c r="D112" i="22"/>
  <c r="AM112" i="22" s="1"/>
  <c r="R115" i="10" s="1"/>
  <c r="N299" i="18"/>
  <c r="D302" i="22"/>
  <c r="AM302" i="22" s="1"/>
  <c r="R304" i="10" s="1"/>
  <c r="N263" i="18"/>
  <c r="D266" i="22"/>
  <c r="AM266" i="22" s="1"/>
  <c r="R268" i="10" s="1"/>
  <c r="N9" i="18"/>
  <c r="D12" i="22"/>
  <c r="AM12" i="22" s="1"/>
  <c r="R14" i="10" s="1"/>
  <c r="N70" i="18"/>
  <c r="D72" i="22"/>
  <c r="AM72" i="22" s="1"/>
  <c r="R75" i="10" s="1"/>
  <c r="N207" i="18"/>
  <c r="D209" i="22"/>
  <c r="AM209" i="22" s="1"/>
  <c r="R212" i="10" s="1"/>
  <c r="N90" i="18"/>
  <c r="D92" i="22"/>
  <c r="AM92" i="22" s="1"/>
  <c r="R95" i="10" s="1"/>
  <c r="N38" i="18"/>
  <c r="D40" i="22"/>
  <c r="AM40" i="22" s="1"/>
  <c r="R43" i="10" s="1"/>
  <c r="N32" i="18"/>
  <c r="D34" i="22"/>
  <c r="AM34" i="22" s="1"/>
  <c r="R37" i="10" s="1"/>
  <c r="N120" i="18"/>
  <c r="D122" i="22"/>
  <c r="AM122" i="22" s="1"/>
  <c r="R125" i="10" s="1"/>
  <c r="O6" i="18"/>
  <c r="E9" i="22"/>
  <c r="AN9" i="22" s="1"/>
  <c r="N74" i="18"/>
  <c r="D76" i="22"/>
  <c r="AM76" i="22" s="1"/>
  <c r="R79" i="10" s="1"/>
  <c r="N91" i="18"/>
  <c r="D93" i="22"/>
  <c r="AM93" i="22" s="1"/>
  <c r="R96" i="10" s="1"/>
  <c r="N277" i="18"/>
  <c r="D280" i="22"/>
  <c r="AM280" i="22" s="1"/>
  <c r="R282" i="10" s="1"/>
  <c r="N96" i="18"/>
  <c r="D98" i="22"/>
  <c r="AM98" i="22" s="1"/>
  <c r="R101" i="10" s="1"/>
  <c r="N147" i="18"/>
  <c r="D150" i="22"/>
  <c r="AM150" i="22" s="1"/>
  <c r="R152" i="10" s="1"/>
  <c r="N178" i="18"/>
  <c r="D180" i="22"/>
  <c r="AM180" i="22" s="1"/>
  <c r="R183" i="10" s="1"/>
  <c r="N270" i="18"/>
  <c r="D273" i="22"/>
  <c r="AM273" i="22" s="1"/>
  <c r="R275" i="10" s="1"/>
  <c r="N265" i="18"/>
  <c r="D268" i="22"/>
  <c r="AM268" i="22" s="1"/>
  <c r="R270" i="10" s="1"/>
  <c r="N65" i="18"/>
  <c r="D67" i="22"/>
  <c r="AM67" i="22" s="1"/>
  <c r="R70" i="10" s="1"/>
  <c r="N268" i="18"/>
  <c r="D271" i="22"/>
  <c r="AM271" i="22" s="1"/>
  <c r="R273" i="10" s="1"/>
  <c r="N50" i="18"/>
  <c r="D52" i="22"/>
  <c r="AM52" i="22" s="1"/>
  <c r="R55" i="10" s="1"/>
  <c r="N308" i="18"/>
  <c r="D310" i="22"/>
  <c r="AM310" i="22" s="1"/>
  <c r="R313" i="10" s="1"/>
  <c r="N167" i="18"/>
  <c r="D169" i="22"/>
  <c r="AM169" i="22" s="1"/>
  <c r="R172" i="10" s="1"/>
  <c r="N16" i="18"/>
  <c r="D18" i="22"/>
  <c r="AM18" i="22" s="1"/>
  <c r="R21" i="10" s="1"/>
  <c r="N62" i="18"/>
  <c r="D64" i="22"/>
  <c r="AM64" i="22" s="1"/>
  <c r="R67" i="10" s="1"/>
  <c r="N144" i="18"/>
  <c r="D147" i="22"/>
  <c r="AM147" i="22" s="1"/>
  <c r="R149" i="10" s="1"/>
  <c r="N146" i="18"/>
  <c r="D149" i="22"/>
  <c r="AM149" i="22" s="1"/>
  <c r="R151" i="10" s="1"/>
  <c r="N18" i="18"/>
  <c r="D20" i="22"/>
  <c r="AM20" i="22" s="1"/>
  <c r="R23" i="10" s="1"/>
  <c r="N173" i="18"/>
  <c r="D175" i="22"/>
  <c r="AM175" i="22" s="1"/>
  <c r="R178" i="10" s="1"/>
  <c r="N69" i="18"/>
  <c r="D71" i="22"/>
  <c r="AM71" i="22" s="1"/>
  <c r="R74" i="10" s="1"/>
  <c r="O193" i="18"/>
  <c r="E195" i="22"/>
  <c r="AN195" i="22" s="1"/>
  <c r="S198" i="10" s="1"/>
  <c r="E198" i="10" s="1"/>
  <c r="N81" i="18"/>
  <c r="D83" i="22"/>
  <c r="AM83" i="22" s="1"/>
  <c r="R86" i="10" s="1"/>
  <c r="N44" i="18"/>
  <c r="D46" i="22"/>
  <c r="AM46" i="22" s="1"/>
  <c r="R49" i="10" s="1"/>
  <c r="N209" i="18"/>
  <c r="D212" i="22"/>
  <c r="AM212" i="22" s="1"/>
  <c r="R214" i="10" s="1"/>
  <c r="O238" i="18"/>
  <c r="F241" i="22" s="1"/>
  <c r="AO241" i="22" s="1"/>
  <c r="T243" i="10" s="1"/>
  <c r="E241" i="22"/>
  <c r="AN241" i="22" s="1"/>
  <c r="S243" i="10" s="1"/>
  <c r="N102" i="18"/>
  <c r="D104" i="22"/>
  <c r="AM104" i="22" s="1"/>
  <c r="R107" i="10" s="1"/>
  <c r="N77" i="18"/>
  <c r="D79" i="22"/>
  <c r="AM79" i="22" s="1"/>
  <c r="R82" i="10" s="1"/>
  <c r="N47" i="18"/>
  <c r="D49" i="22"/>
  <c r="AM49" i="22" s="1"/>
  <c r="R52" i="10" s="1"/>
  <c r="N34" i="18"/>
  <c r="D36" i="22"/>
  <c r="AM36" i="22" s="1"/>
  <c r="R39" i="10" s="1"/>
  <c r="N89" i="18"/>
  <c r="D91" i="22"/>
  <c r="AM91" i="22" s="1"/>
  <c r="R94" i="10" s="1"/>
  <c r="N123" i="18"/>
  <c r="D125" i="22"/>
  <c r="AM125" i="22" s="1"/>
  <c r="R128" i="10" s="1"/>
  <c r="N186" i="18"/>
  <c r="D188" i="22"/>
  <c r="AM188" i="22" s="1"/>
  <c r="R191" i="10" s="1"/>
  <c r="N154" i="18"/>
  <c r="D198" i="22"/>
  <c r="AM198" i="22" s="1"/>
  <c r="R159" i="10" s="1"/>
  <c r="N35" i="18"/>
  <c r="D37" i="22"/>
  <c r="AM37" i="22" s="1"/>
  <c r="R40" i="10" s="1"/>
  <c r="N54" i="18"/>
  <c r="D56" i="22"/>
  <c r="AM56" i="22" s="1"/>
  <c r="R59" i="10" s="1"/>
  <c r="N99" i="18"/>
  <c r="D101" i="22"/>
  <c r="AM101" i="22" s="1"/>
  <c r="R104" i="10" s="1"/>
  <c r="N49" i="18"/>
  <c r="D51" i="22"/>
  <c r="AM51" i="22" s="1"/>
  <c r="R54" i="10" s="1"/>
  <c r="N229" i="18"/>
  <c r="D232" i="22"/>
  <c r="AM232" i="22" s="1"/>
  <c r="R234" i="10" s="1"/>
  <c r="N200" i="18"/>
  <c r="D203" i="22"/>
  <c r="AM203" i="22" s="1"/>
  <c r="R205" i="10" s="1"/>
  <c r="N28" i="18"/>
  <c r="D30" i="22"/>
  <c r="AM30" i="22" s="1"/>
  <c r="R33" i="10" s="1"/>
  <c r="N231" i="18"/>
  <c r="D234" i="22"/>
  <c r="AM234" i="22" s="1"/>
  <c r="R236" i="10" s="1"/>
  <c r="N20" i="18"/>
  <c r="D22" i="22"/>
  <c r="AM22" i="22" s="1"/>
  <c r="R25" i="10" s="1"/>
  <c r="N106" i="18"/>
  <c r="D108" i="22"/>
  <c r="AM108" i="22" s="1"/>
  <c r="R112" i="10" s="1"/>
  <c r="N284" i="18"/>
  <c r="D287" i="22"/>
  <c r="AM287" i="22" s="1"/>
  <c r="R289" i="10" s="1"/>
  <c r="N245" i="18"/>
  <c r="D248" i="22"/>
  <c r="AM248" i="22" s="1"/>
  <c r="R250" i="10" s="1"/>
  <c r="N267" i="18"/>
  <c r="D270" i="22"/>
  <c r="AM270" i="22" s="1"/>
  <c r="R272" i="10" s="1"/>
  <c r="N198" i="18"/>
  <c r="D201" i="22"/>
  <c r="AM201" i="22" s="1"/>
  <c r="R203" i="10" s="1"/>
  <c r="N11" i="18"/>
  <c r="D14" i="22"/>
  <c r="AM14" i="22" s="1"/>
  <c r="R16" i="10" s="1"/>
  <c r="O310" i="18"/>
  <c r="F313" i="22" s="1"/>
  <c r="AO313" i="22" s="1"/>
  <c r="T315" i="10" s="1"/>
  <c r="E313" i="22"/>
  <c r="AN313" i="22" s="1"/>
  <c r="S315" i="10" s="1"/>
  <c r="N214" i="18"/>
  <c r="D217" i="22"/>
  <c r="AM217" i="22" s="1"/>
  <c r="R219" i="10" s="1"/>
  <c r="N107" i="18"/>
  <c r="D109" i="22"/>
  <c r="AM109" i="22" s="1"/>
  <c r="R111" i="10" s="1"/>
  <c r="N26" i="18"/>
  <c r="D28" i="22"/>
  <c r="AM28" i="22" s="1"/>
  <c r="R31" i="10" s="1"/>
  <c r="N53" i="18"/>
  <c r="D55" i="22"/>
  <c r="AM55" i="22" s="1"/>
  <c r="R58" i="10" s="1"/>
  <c r="N25" i="18"/>
  <c r="D27" i="22"/>
  <c r="AM27" i="22" s="1"/>
  <c r="R30" i="10" s="1"/>
  <c r="N191" i="18"/>
  <c r="D192" i="22"/>
  <c r="AM192" i="22" s="1"/>
  <c r="R195" i="10" s="1"/>
  <c r="N163" i="18"/>
  <c r="D164" i="22"/>
  <c r="AM164" i="22" s="1"/>
  <c r="R167" i="10" s="1"/>
  <c r="N128" i="18"/>
  <c r="D130" i="22"/>
  <c r="AM130" i="22" s="1"/>
  <c r="R133" i="10" s="1"/>
  <c r="N60" i="18"/>
  <c r="D62" i="22"/>
  <c r="AM62" i="22" s="1"/>
  <c r="R65" i="10" s="1"/>
  <c r="N185" i="18"/>
  <c r="D187" i="22"/>
  <c r="AM187" i="22" s="1"/>
  <c r="R190" i="10" s="1"/>
  <c r="N134" i="18"/>
  <c r="D136" i="22"/>
  <c r="AM136" i="22" s="1"/>
  <c r="R139" i="10" s="1"/>
  <c r="N115" i="18"/>
  <c r="D117" i="22"/>
  <c r="AM117" i="22" s="1"/>
  <c r="R120" i="10" s="1"/>
  <c r="N139" i="18"/>
  <c r="D142" i="22"/>
  <c r="AM142" i="22" s="1"/>
  <c r="R144" i="10" s="1"/>
  <c r="N177" i="18"/>
  <c r="D179" i="22"/>
  <c r="AM179" i="22" s="1"/>
  <c r="R182" i="10" s="1"/>
  <c r="N152" i="18"/>
  <c r="D155" i="22"/>
  <c r="AM155" i="22" s="1"/>
  <c r="R157" i="10" s="1"/>
  <c r="N197" i="18"/>
  <c r="D200" i="22"/>
  <c r="AM200" i="22" s="1"/>
  <c r="R202" i="10" s="1"/>
  <c r="N46" i="18"/>
  <c r="D48" i="22"/>
  <c r="AM48" i="22" s="1"/>
  <c r="R51" i="10" s="1"/>
  <c r="N13" i="18"/>
  <c r="D139" i="22"/>
  <c r="AM139" i="22" s="1"/>
  <c r="R18" i="10" s="1"/>
  <c r="N14" i="18"/>
  <c r="D16" i="22"/>
  <c r="AM16" i="22" s="1"/>
  <c r="R19" i="10" s="1"/>
  <c r="N153" i="18"/>
  <c r="N212" i="18"/>
  <c r="D215" i="22"/>
  <c r="AM215" i="22" s="1"/>
  <c r="R217" i="10" s="1"/>
  <c r="N228" i="18"/>
  <c r="D231" i="22"/>
  <c r="AM231" i="22" s="1"/>
  <c r="R233" i="10" s="1"/>
  <c r="N246" i="18"/>
  <c r="D249" i="22"/>
  <c r="AM249" i="22" s="1"/>
  <c r="R251" i="10" s="1"/>
  <c r="N92" i="18"/>
  <c r="D94" i="22"/>
  <c r="AM94" i="22" s="1"/>
  <c r="R97" i="10" s="1"/>
  <c r="N82" i="18"/>
  <c r="D84" i="22"/>
  <c r="AM84" i="22" s="1"/>
  <c r="R87" i="10" s="1"/>
  <c r="N253" i="18"/>
  <c r="D256" i="22"/>
  <c r="AM256" i="22" s="1"/>
  <c r="R258" i="10" s="1"/>
  <c r="N76" i="18"/>
  <c r="D78" i="22"/>
  <c r="AM78" i="22" s="1"/>
  <c r="R81" i="10" s="1"/>
  <c r="N251" i="18"/>
  <c r="D254" i="22"/>
  <c r="AM254" i="22" s="1"/>
  <c r="R256" i="10" s="1"/>
  <c r="N301" i="18"/>
  <c r="D304" i="22"/>
  <c r="AM304" i="22" s="1"/>
  <c r="R306" i="10" s="1"/>
  <c r="N98" i="18"/>
  <c r="D100" i="22"/>
  <c r="AM100" i="22" s="1"/>
  <c r="R103" i="10" s="1"/>
  <c r="N273" i="18"/>
  <c r="D276" i="22"/>
  <c r="AM276" i="22" s="1"/>
  <c r="R278" i="10" s="1"/>
  <c r="O30" i="18"/>
  <c r="E32" i="22"/>
  <c r="AN32" i="22" s="1"/>
  <c r="S35" i="10" s="1"/>
  <c r="N241" i="18"/>
  <c r="D244" i="22"/>
  <c r="AM244" i="22" s="1"/>
  <c r="R246" i="10" s="1"/>
  <c r="N203" i="18"/>
  <c r="D206" i="22"/>
  <c r="AM206" i="22" s="1"/>
  <c r="R208" i="10" s="1"/>
  <c r="O10" i="18"/>
  <c r="E13" i="22"/>
  <c r="AN13" i="22" s="1"/>
  <c r="S15" i="10" s="1"/>
  <c r="N56" i="18"/>
  <c r="D58" i="22"/>
  <c r="AM58" i="22" s="1"/>
  <c r="R61" i="10" s="1"/>
  <c r="N86" i="18"/>
  <c r="D88" i="22"/>
  <c r="AM88" i="22" s="1"/>
  <c r="R91" i="10" s="1"/>
  <c r="N151" i="18"/>
  <c r="D154" i="22"/>
  <c r="AM154" i="22" s="1"/>
  <c r="R156" i="10" s="1"/>
  <c r="N243" i="18"/>
  <c r="D246" i="22"/>
  <c r="AM246" i="22" s="1"/>
  <c r="R248" i="10" s="1"/>
  <c r="N158" i="18"/>
  <c r="D160" i="22"/>
  <c r="AM160" i="22" s="1"/>
  <c r="R163" i="10" s="1"/>
  <c r="N71" i="18"/>
  <c r="D73" i="22"/>
  <c r="AM73" i="22" s="1"/>
  <c r="R76" i="10" s="1"/>
  <c r="N218" i="18"/>
  <c r="D221" i="22"/>
  <c r="AM221" i="22" s="1"/>
  <c r="R223" i="10" s="1"/>
  <c r="N276" i="18"/>
  <c r="D279" i="22"/>
  <c r="AM279" i="22" s="1"/>
  <c r="R281" i="10" s="1"/>
  <c r="N136" i="18"/>
  <c r="D138" i="22"/>
  <c r="AM138" i="22" s="1"/>
  <c r="R141" i="10" s="1"/>
  <c r="N168" i="18"/>
  <c r="D170" i="22"/>
  <c r="AM170" i="22" s="1"/>
  <c r="R173" i="10" s="1"/>
  <c r="N119" i="18"/>
  <c r="D121" i="22"/>
  <c r="AM121" i="22" s="1"/>
  <c r="R124" i="10" s="1"/>
  <c r="N55" i="18"/>
  <c r="D57" i="22"/>
  <c r="AM57" i="22" s="1"/>
  <c r="R60" i="10" s="1"/>
  <c r="N292" i="18"/>
  <c r="D295" i="22"/>
  <c r="AM295" i="22" s="1"/>
  <c r="R297" i="10" s="1"/>
  <c r="N271" i="18"/>
  <c r="D274" i="22"/>
  <c r="AM274" i="22" s="1"/>
  <c r="R276" i="10" s="1"/>
  <c r="N72" i="18"/>
  <c r="D74" i="22"/>
  <c r="AM74" i="22" s="1"/>
  <c r="R77" i="10" s="1"/>
  <c r="N21" i="18"/>
  <c r="D23" i="22"/>
  <c r="AM23" i="22" s="1"/>
  <c r="R26" i="10" s="1"/>
  <c r="N222" i="18"/>
  <c r="D225" i="22"/>
  <c r="AM225" i="22" s="1"/>
  <c r="R227" i="10" s="1"/>
  <c r="N281" i="18"/>
  <c r="D284" i="22"/>
  <c r="AM284" i="22" s="1"/>
  <c r="R286" i="10" s="1"/>
  <c r="N142" i="18"/>
  <c r="D145" i="22"/>
  <c r="AM145" i="22" s="1"/>
  <c r="R147" i="10" s="1"/>
  <c r="N155" i="18"/>
  <c r="D157" i="22"/>
  <c r="AM157" i="22" s="1"/>
  <c r="R160" i="10" s="1"/>
  <c r="N249" i="18"/>
  <c r="D252" i="22"/>
  <c r="AM252" i="22" s="1"/>
  <c r="R254" i="10" s="1"/>
  <c r="N97" i="18"/>
  <c r="D99" i="22"/>
  <c r="AM99" i="22" s="1"/>
  <c r="R102" i="10" s="1"/>
  <c r="N305" i="18"/>
  <c r="D312" i="22"/>
  <c r="AM312" i="22" s="1"/>
  <c r="R310" i="10" s="1"/>
  <c r="N104" i="18"/>
  <c r="D106" i="22"/>
  <c r="AM106" i="22" s="1"/>
  <c r="R109" i="10" s="1"/>
  <c r="N179" i="18"/>
  <c r="D181" i="22"/>
  <c r="AM181" i="22" s="1"/>
  <c r="R184" i="10" s="1"/>
  <c r="N172" i="18"/>
  <c r="D174" i="22"/>
  <c r="AM174" i="22" s="1"/>
  <c r="R177" i="10" s="1"/>
  <c r="N95" i="18"/>
  <c r="D97" i="22"/>
  <c r="AM97" i="22" s="1"/>
  <c r="R100" i="10" s="1"/>
  <c r="N233" i="18"/>
  <c r="D236" i="22"/>
  <c r="AM236" i="22" s="1"/>
  <c r="R238" i="10" s="1"/>
  <c r="N103" i="18"/>
  <c r="D105" i="22"/>
  <c r="AM105" i="22" s="1"/>
  <c r="R108" i="10" s="1"/>
  <c r="O187" i="18"/>
  <c r="F189" i="22" s="1"/>
  <c r="AO189" i="22" s="1"/>
  <c r="T192" i="10" s="1"/>
  <c r="E189" i="22"/>
  <c r="AN189" i="22" s="1"/>
  <c r="S192" i="10" s="1"/>
  <c r="N300" i="18"/>
  <c r="D303" i="22"/>
  <c r="AM303" i="22" s="1"/>
  <c r="R305" i="10" s="1"/>
  <c r="N174" i="18"/>
  <c r="D176" i="22"/>
  <c r="AM176" i="22" s="1"/>
  <c r="R179" i="10" s="1"/>
  <c r="N219" i="18"/>
  <c r="D222" i="22"/>
  <c r="AM222" i="22" s="1"/>
  <c r="R224" i="10" s="1"/>
  <c r="N63" i="18"/>
  <c r="D65" i="22"/>
  <c r="AM65" i="22" s="1"/>
  <c r="R68" i="10" s="1"/>
  <c r="N283" i="18"/>
  <c r="D286" i="22"/>
  <c r="AM286" i="22" s="1"/>
  <c r="R288" i="10" s="1"/>
  <c r="N220" i="18"/>
  <c r="D223" i="22"/>
  <c r="AM223" i="22" s="1"/>
  <c r="R225" i="10" s="1"/>
  <c r="N202" i="18"/>
  <c r="D205" i="22"/>
  <c r="AM205" i="22" s="1"/>
  <c r="R207" i="10" s="1"/>
  <c r="F8" i="22"/>
  <c r="AO8" i="22" s="1"/>
  <c r="N157" i="18"/>
  <c r="D159" i="22"/>
  <c r="AM159" i="22" s="1"/>
  <c r="R162" i="10" s="1"/>
  <c r="N190" i="18"/>
  <c r="D191" i="22"/>
  <c r="AM191" i="22" s="1"/>
  <c r="R194" i="10" s="1"/>
  <c r="O293" i="18"/>
  <c r="E296" i="22"/>
  <c r="AN296" i="22" s="1"/>
  <c r="S298" i="10" s="1"/>
  <c r="N298" i="18"/>
  <c r="D301" i="22"/>
  <c r="AM301" i="22" s="1"/>
  <c r="R303" i="10" s="1"/>
  <c r="N216" i="18"/>
  <c r="D219" i="22"/>
  <c r="AM219" i="22" s="1"/>
  <c r="R221" i="10" s="1"/>
  <c r="AF193" i="22"/>
  <c r="N170" i="18"/>
  <c r="D172" i="22"/>
  <c r="AM172" i="22" s="1"/>
  <c r="R175" i="10" s="1"/>
  <c r="N188" i="18"/>
  <c r="D190" i="22"/>
  <c r="AM190" i="22" s="1"/>
  <c r="R193" i="10" s="1"/>
  <c r="N208" i="18"/>
  <c r="D210" i="22"/>
  <c r="AM210" i="22" s="1"/>
  <c r="R213" i="10" s="1"/>
  <c r="N242" i="18"/>
  <c r="D245" i="22"/>
  <c r="AM245" i="22" s="1"/>
  <c r="R247" i="10" s="1"/>
  <c r="N181" i="18"/>
  <c r="D183" i="22"/>
  <c r="AM183" i="22" s="1"/>
  <c r="R186" i="10" s="1"/>
  <c r="N105" i="18"/>
  <c r="D107" i="22"/>
  <c r="AM107" i="22" s="1"/>
  <c r="R110" i="10" s="1"/>
  <c r="N237" i="18"/>
  <c r="D240" i="22"/>
  <c r="AM240" i="22" s="1"/>
  <c r="R242" i="10" s="1"/>
  <c r="N297" i="18"/>
  <c r="D300" i="22"/>
  <c r="AM300" i="22" s="1"/>
  <c r="R302" i="10" s="1"/>
  <c r="N248" i="18"/>
  <c r="D251" i="22"/>
  <c r="AM251" i="22" s="1"/>
  <c r="R253" i="10" s="1"/>
  <c r="N162" i="18"/>
  <c r="D165" i="22"/>
  <c r="AM165" i="22" s="1"/>
  <c r="R168" i="10" s="1"/>
  <c r="N29" i="18"/>
  <c r="D31" i="22"/>
  <c r="AM31" i="22" s="1"/>
  <c r="R34" i="10" s="1"/>
  <c r="P7" i="18"/>
  <c r="G10" i="22" s="1"/>
  <c r="AP10" i="22" s="1"/>
  <c r="U12" i="10" s="1"/>
  <c r="N165" i="18"/>
  <c r="D167" i="22"/>
  <c r="AM167" i="22" s="1"/>
  <c r="R170" i="10" s="1"/>
  <c r="N232" i="18"/>
  <c r="D235" i="22"/>
  <c r="AM235" i="22" s="1"/>
  <c r="R237" i="10" s="1"/>
  <c r="N156" i="18"/>
  <c r="D158" i="22"/>
  <c r="AM158" i="22" s="1"/>
  <c r="R161" i="10" s="1"/>
  <c r="N279" i="18"/>
  <c r="D282" i="22"/>
  <c r="AM282" i="22" s="1"/>
  <c r="R284" i="10" s="1"/>
  <c r="N260" i="18"/>
  <c r="D263" i="22"/>
  <c r="AM263" i="22" s="1"/>
  <c r="R265" i="10" s="1"/>
  <c r="N217" i="18"/>
  <c r="D220" i="22"/>
  <c r="AM220" i="22" s="1"/>
  <c r="R222" i="10" s="1"/>
  <c r="N296" i="18"/>
  <c r="D299" i="22"/>
  <c r="AM299" i="22" s="1"/>
  <c r="R301" i="10" s="1"/>
  <c r="N171" i="18"/>
  <c r="D173" i="22"/>
  <c r="AM173" i="22" s="1"/>
  <c r="R176" i="10" s="1"/>
  <c r="N114" i="18"/>
  <c r="D116" i="22"/>
  <c r="AM116" i="22" s="1"/>
  <c r="R119" i="10" s="1"/>
  <c r="O236" i="18"/>
  <c r="E239" i="22"/>
  <c r="AN239" i="22" s="1"/>
  <c r="S241" i="10" s="1"/>
  <c r="C320" i="22"/>
  <c r="N61" i="18"/>
  <c r="D63" i="22"/>
  <c r="AM63" i="22" s="1"/>
  <c r="R66" i="10" s="1"/>
  <c r="N43" i="18"/>
  <c r="D45" i="22"/>
  <c r="AM45" i="22" s="1"/>
  <c r="R48" i="10" s="1"/>
  <c r="N161" i="18"/>
  <c r="D163" i="22"/>
  <c r="AM163" i="22" s="1"/>
  <c r="R166" i="10" s="1"/>
  <c r="N288" i="18"/>
  <c r="D291" i="22"/>
  <c r="AM291" i="22" s="1"/>
  <c r="R293" i="10" s="1"/>
  <c r="N48" i="18"/>
  <c r="D50" i="22"/>
  <c r="AM50" i="22" s="1"/>
  <c r="R53" i="10" s="1"/>
  <c r="N280" i="18"/>
  <c r="D283" i="22"/>
  <c r="AM283" i="22" s="1"/>
  <c r="R285" i="10" s="1"/>
  <c r="N196" i="18"/>
  <c r="D199" i="22"/>
  <c r="AM199" i="22" s="1"/>
  <c r="R201" i="10" s="1"/>
  <c r="N109" i="18"/>
  <c r="D111" i="22"/>
  <c r="AM111" i="22" s="1"/>
  <c r="R114" i="10" s="1"/>
  <c r="N257" i="18"/>
  <c r="D260" i="22"/>
  <c r="AM260" i="22" s="1"/>
  <c r="R262" i="10" s="1"/>
  <c r="N141" i="18"/>
  <c r="D144" i="22"/>
  <c r="AM144" i="22" s="1"/>
  <c r="R146" i="10" s="1"/>
  <c r="Q101" i="18"/>
  <c r="G103" i="22"/>
  <c r="AP103" i="22" s="1"/>
  <c r="U106" i="10" s="1"/>
  <c r="G106" i="10" s="1"/>
  <c r="N122" i="18"/>
  <c r="D124" i="22"/>
  <c r="AM124" i="22" s="1"/>
  <c r="R127" i="10" s="1"/>
  <c r="N8" i="18"/>
  <c r="D11" i="22"/>
  <c r="AM11" i="22" s="1"/>
  <c r="R13" i="10" s="1"/>
  <c r="N133" i="18"/>
  <c r="D135" i="22"/>
  <c r="AM135" i="22" s="1"/>
  <c r="R138" i="10" s="1"/>
  <c r="N183" i="18"/>
  <c r="D185" i="22"/>
  <c r="AM185" i="22" s="1"/>
  <c r="R188" i="10" s="1"/>
  <c r="N278" i="18"/>
  <c r="D281" i="22"/>
  <c r="AM281" i="22" s="1"/>
  <c r="R283" i="10" s="1"/>
  <c r="N84" i="18"/>
  <c r="D86" i="22"/>
  <c r="AM86" i="22" s="1"/>
  <c r="R89" i="10" s="1"/>
  <c r="N113" i="18"/>
  <c r="D115" i="22"/>
  <c r="AM115" i="22" s="1"/>
  <c r="R118" i="10" s="1"/>
  <c r="O304" i="18"/>
  <c r="F307" i="22" s="1"/>
  <c r="AO307" i="22" s="1"/>
  <c r="T309" i="10" s="1"/>
  <c r="E307" i="22"/>
  <c r="AN307" i="22" s="1"/>
  <c r="S309" i="10" s="1"/>
  <c r="N64" i="18"/>
  <c r="D66" i="22"/>
  <c r="AM66" i="22" s="1"/>
  <c r="R69" i="10" s="1"/>
  <c r="N215" i="18"/>
  <c r="D218" i="22"/>
  <c r="AM218" i="22" s="1"/>
  <c r="R220" i="10" s="1"/>
  <c r="N227" i="18"/>
  <c r="D230" i="22"/>
  <c r="AM230" i="22" s="1"/>
  <c r="R232" i="10" s="1"/>
  <c r="Q192" i="18"/>
  <c r="N201" i="18"/>
  <c r="D204" i="22"/>
  <c r="AM204" i="22" s="1"/>
  <c r="R206" i="10" s="1"/>
  <c r="N226" i="18"/>
  <c r="D229" i="22"/>
  <c r="AM229" i="22" s="1"/>
  <c r="R231" i="10" s="1"/>
  <c r="N78" i="18"/>
  <c r="D80" i="22"/>
  <c r="AM80" i="22" s="1"/>
  <c r="R83" i="10" s="1"/>
  <c r="N31" i="18"/>
  <c r="D33" i="22"/>
  <c r="AM33" i="22" s="1"/>
  <c r="R36" i="10" s="1"/>
  <c r="N12" i="18"/>
  <c r="D15" i="22"/>
  <c r="AM15" i="22" s="1"/>
  <c r="R17" i="10" s="1"/>
  <c r="N94" i="18"/>
  <c r="D96" i="22"/>
  <c r="AM96" i="22" s="1"/>
  <c r="R99" i="10" s="1"/>
  <c r="N80" i="18"/>
  <c r="D82" i="22"/>
  <c r="AM82" i="22" s="1"/>
  <c r="R85" i="10" s="1"/>
  <c r="N130" i="18"/>
  <c r="D132" i="22"/>
  <c r="AM132" i="22" s="1"/>
  <c r="R135" i="10" s="1"/>
  <c r="N126" i="18"/>
  <c r="D128" i="22"/>
  <c r="AM128" i="22" s="1"/>
  <c r="R131" i="10" s="1"/>
  <c r="N129" i="18"/>
  <c r="D131" i="22"/>
  <c r="AM131" i="22" s="1"/>
  <c r="R134" i="10" s="1"/>
  <c r="N17" i="18"/>
  <c r="D19" i="22"/>
  <c r="AM19" i="22" s="1"/>
  <c r="R22" i="10" s="1"/>
  <c r="N254" i="18"/>
  <c r="D257" i="22"/>
  <c r="AM257" i="22" s="1"/>
  <c r="R259" i="10" s="1"/>
  <c r="N239" i="18"/>
  <c r="D242" i="22"/>
  <c r="AM242" i="22" s="1"/>
  <c r="R244" i="10" s="1"/>
  <c r="N58" i="18"/>
  <c r="D60" i="22"/>
  <c r="AM60" i="22" s="1"/>
  <c r="R63" i="10" s="1"/>
  <c r="N19" i="18"/>
  <c r="D21" i="22"/>
  <c r="AM21" i="22" s="1"/>
  <c r="R24" i="10" s="1"/>
  <c r="N291" i="18"/>
  <c r="D294" i="22"/>
  <c r="AM294" i="22" s="1"/>
  <c r="R296" i="10" s="1"/>
  <c r="N230" i="18"/>
  <c r="D233" i="22"/>
  <c r="AM233" i="22" s="1"/>
  <c r="R235" i="10" s="1"/>
  <c r="N175" i="18"/>
  <c r="D177" i="22"/>
  <c r="AM177" i="22" s="1"/>
  <c r="R180" i="10" s="1"/>
  <c r="N205" i="18"/>
  <c r="D211" i="22"/>
  <c r="AM211" i="22" s="1"/>
  <c r="R210" i="10" s="1"/>
  <c r="N294" i="18"/>
  <c r="D297" i="22"/>
  <c r="AM297" i="22" s="1"/>
  <c r="R299" i="10" s="1"/>
  <c r="N73" i="18"/>
  <c r="D75" i="22"/>
  <c r="AM75" i="22" s="1"/>
  <c r="R78" i="10" s="1"/>
  <c r="N180" i="18"/>
  <c r="D182" i="22"/>
  <c r="AM182" i="22" s="1"/>
  <c r="R185" i="10" s="1"/>
  <c r="O309" i="18"/>
  <c r="E311" i="22"/>
  <c r="AN311" i="22" s="1"/>
  <c r="S314" i="10" s="1"/>
  <c r="N224" i="18"/>
  <c r="D227" i="22"/>
  <c r="AM227" i="22" s="1"/>
  <c r="R229" i="10" s="1"/>
  <c r="N286" i="18"/>
  <c r="D289" i="22"/>
  <c r="AM289" i="22" s="1"/>
  <c r="R291" i="10" s="1"/>
  <c r="N27" i="18"/>
  <c r="D29" i="22"/>
  <c r="AM29" i="22" s="1"/>
  <c r="R32" i="10" s="1"/>
  <c r="N274" i="18"/>
  <c r="D277" i="22"/>
  <c r="AM277" i="22" s="1"/>
  <c r="R279" i="10" s="1"/>
  <c r="N252" i="18"/>
  <c r="D255" i="22"/>
  <c r="AM255" i="22" s="1"/>
  <c r="R257" i="10" s="1"/>
  <c r="N264" i="18"/>
  <c r="D267" i="22"/>
  <c r="AM267" i="22" s="1"/>
  <c r="R269" i="10" s="1"/>
  <c r="N68" i="18"/>
  <c r="D70" i="22"/>
  <c r="AM70" i="22" s="1"/>
  <c r="R73" i="10" s="1"/>
  <c r="N37" i="18"/>
  <c r="D39" i="22"/>
  <c r="AM39" i="22" s="1"/>
  <c r="R42" i="10" s="1"/>
  <c r="N302" i="18"/>
  <c r="D305" i="22"/>
  <c r="AM305" i="22" s="1"/>
  <c r="R307" i="10" s="1"/>
  <c r="N75" i="18"/>
  <c r="D77" i="22"/>
  <c r="AM77" i="22" s="1"/>
  <c r="R80" i="10" s="1"/>
  <c r="N125" i="18"/>
  <c r="D127" i="22"/>
  <c r="AM127" i="22" s="1"/>
  <c r="R130" i="10" s="1"/>
  <c r="O256" i="18"/>
  <c r="F259" i="22" s="1"/>
  <c r="AO259" i="22" s="1"/>
  <c r="T261" i="10" s="1"/>
  <c r="E259" i="22"/>
  <c r="AN259" i="22" s="1"/>
  <c r="S261" i="10" s="1"/>
  <c r="N247" i="18"/>
  <c r="D250" i="22"/>
  <c r="AM250" i="22" s="1"/>
  <c r="R252" i="10" s="1"/>
  <c r="N164" i="18"/>
  <c r="D166" i="22"/>
  <c r="AM166" i="22" s="1"/>
  <c r="R169" i="10" s="1"/>
  <c r="N289" i="18"/>
  <c r="D292" i="22"/>
  <c r="AM292" i="22" s="1"/>
  <c r="R294" i="10" s="1"/>
  <c r="N225" i="18"/>
  <c r="D228" i="22"/>
  <c r="AM228" i="22" s="1"/>
  <c r="R230" i="10" s="1"/>
  <c r="N41" i="18"/>
  <c r="D43" i="22"/>
  <c r="AM43" i="22" s="1"/>
  <c r="R46" i="10" s="1"/>
  <c r="N112" i="18"/>
  <c r="D114" i="22"/>
  <c r="AM114" i="22" s="1"/>
  <c r="R117" i="10" s="1"/>
  <c r="N23" i="18"/>
  <c r="D25" i="22"/>
  <c r="AM25" i="22" s="1"/>
  <c r="R28" i="10" s="1"/>
  <c r="N150" i="18"/>
  <c r="D153" i="22"/>
  <c r="AM153" i="22" s="1"/>
  <c r="R155" i="10" s="1"/>
  <c r="N132" i="18"/>
  <c r="D134" i="22"/>
  <c r="AM134" i="22" s="1"/>
  <c r="R137" i="10" s="1"/>
  <c r="N51" i="18"/>
  <c r="D53" i="22"/>
  <c r="AM53" i="22" s="1"/>
  <c r="R56" i="10" s="1"/>
  <c r="N111" i="18"/>
  <c r="D113" i="22"/>
  <c r="AM113" i="22" s="1"/>
  <c r="R116" i="10" s="1"/>
  <c r="N184" i="18"/>
  <c r="D186" i="22"/>
  <c r="AM186" i="22" s="1"/>
  <c r="R189" i="10" s="1"/>
  <c r="N176" i="18"/>
  <c r="D178" i="22"/>
  <c r="AM178" i="22" s="1"/>
  <c r="R181" i="10" s="1"/>
  <c r="P306" i="18"/>
  <c r="G308" i="22" s="1"/>
  <c r="N83" i="18"/>
  <c r="D85" i="22"/>
  <c r="AM85" i="22" s="1"/>
  <c r="R88" i="10" s="1"/>
  <c r="N137" i="18"/>
  <c r="D140" i="22"/>
  <c r="AM140" i="22" s="1"/>
  <c r="R142" i="10" s="1"/>
  <c r="N199" i="18"/>
  <c r="D202" i="22"/>
  <c r="AM202" i="22" s="1"/>
  <c r="R204" i="10" s="1"/>
  <c r="P121" i="18"/>
  <c r="G123" i="22" s="1"/>
  <c r="AP123" i="22" s="1"/>
  <c r="U126" i="10" s="1"/>
  <c r="N303" i="18"/>
  <c r="D306" i="22"/>
  <c r="AM306" i="22" s="1"/>
  <c r="R308" i="10" s="1"/>
  <c r="N194" i="18"/>
  <c r="D196" i="22"/>
  <c r="AM196" i="22" s="1"/>
  <c r="R199" i="10" s="1"/>
  <c r="N262" i="18"/>
  <c r="D265" i="22"/>
  <c r="AM265" i="22" s="1"/>
  <c r="N22" i="18"/>
  <c r="D24" i="22"/>
  <c r="AM24" i="22" s="1"/>
  <c r="R27" i="10" s="1"/>
  <c r="N127" i="18"/>
  <c r="D129" i="22"/>
  <c r="AM129" i="22" s="1"/>
  <c r="R132" i="10" s="1"/>
  <c r="N135" i="18"/>
  <c r="D137" i="22"/>
  <c r="AM137" i="22" s="1"/>
  <c r="R140" i="10" s="1"/>
  <c r="N36" i="18"/>
  <c r="D38" i="22"/>
  <c r="AM38" i="22" s="1"/>
  <c r="R41" i="10" s="1"/>
  <c r="N145" i="18"/>
  <c r="D148" i="22"/>
  <c r="AM148" i="22" s="1"/>
  <c r="R150" i="10" s="1"/>
  <c r="N244" i="18"/>
  <c r="D247" i="22"/>
  <c r="AM247" i="22" s="1"/>
  <c r="R249" i="10" s="1"/>
  <c r="N206" i="18"/>
  <c r="D208" i="22"/>
  <c r="AM208" i="22" s="1"/>
  <c r="R211" i="10" s="1"/>
  <c r="N266" i="18"/>
  <c r="D269" i="22"/>
  <c r="AM269" i="22" s="1"/>
  <c r="R271" i="10" s="1"/>
  <c r="N223" i="18"/>
  <c r="D226" i="22"/>
  <c r="AM226" i="22" s="1"/>
  <c r="R228" i="10" s="1"/>
  <c r="N240" i="18"/>
  <c r="D243" i="22"/>
  <c r="AM243" i="22" s="1"/>
  <c r="R245" i="10" s="1"/>
  <c r="N100" i="18"/>
  <c r="D102" i="22"/>
  <c r="AM102" i="22" s="1"/>
  <c r="R105" i="10" s="1"/>
  <c r="N66" i="18"/>
  <c r="D68" i="22"/>
  <c r="AM68" i="22" s="1"/>
  <c r="R71" i="10" s="1"/>
  <c r="N272" i="18"/>
  <c r="D275" i="22"/>
  <c r="AM275" i="22" s="1"/>
  <c r="R277" i="10" s="1"/>
  <c r="N234" i="18"/>
  <c r="D237" i="22"/>
  <c r="AM237" i="22" s="1"/>
  <c r="R239" i="10" s="1"/>
  <c r="N148" i="18"/>
  <c r="D151" i="22"/>
  <c r="AM151" i="22" s="1"/>
  <c r="R153" i="10" s="1"/>
  <c r="N159" i="18"/>
  <c r="D161" i="22"/>
  <c r="AM161" i="22" s="1"/>
  <c r="R164" i="10" s="1"/>
  <c r="N258" i="18"/>
  <c r="D261" i="22"/>
  <c r="AM261" i="22" s="1"/>
  <c r="R263" i="10" s="1"/>
  <c r="N15" i="18"/>
  <c r="D17" i="22"/>
  <c r="AM17" i="22" s="1"/>
  <c r="R20" i="10" s="1"/>
  <c r="N204" i="18"/>
  <c r="D207" i="22"/>
  <c r="AM207" i="22" s="1"/>
  <c r="R209" i="10" s="1"/>
  <c r="N166" i="18"/>
  <c r="D168" i="22"/>
  <c r="AM168" i="22" s="1"/>
  <c r="R171" i="10" s="1"/>
  <c r="N182" i="18"/>
  <c r="D184" i="22"/>
  <c r="AM184" i="22" s="1"/>
  <c r="R187" i="10" s="1"/>
  <c r="N33" i="18"/>
  <c r="D35" i="22"/>
  <c r="AM35" i="22" s="1"/>
  <c r="R38" i="10" s="1"/>
  <c r="N116" i="18"/>
  <c r="D118" i="22"/>
  <c r="AM118" i="22" s="1"/>
  <c r="R121" i="10" s="1"/>
  <c r="N131" i="18"/>
  <c r="D133" i="22"/>
  <c r="AM133" i="22" s="1"/>
  <c r="R136" i="10" s="1"/>
  <c r="P285" i="18"/>
  <c r="G288" i="22" s="1"/>
  <c r="P189" i="18"/>
  <c r="G194" i="22" s="1"/>
  <c r="AP194" i="22" s="1"/>
  <c r="U197" i="10" s="1"/>
  <c r="P238" i="18"/>
  <c r="G241" i="22" s="1"/>
  <c r="Q311" i="18"/>
  <c r="C253" i="10"/>
  <c r="C267" i="10"/>
  <c r="E197" i="10"/>
  <c r="F197" i="10"/>
  <c r="D113" i="10"/>
  <c r="C113" i="10"/>
  <c r="C318" i="10"/>
  <c r="F318" i="10"/>
  <c r="P129" i="9"/>
  <c r="P94" i="9"/>
  <c r="P148" i="9"/>
  <c r="P83" i="9"/>
  <c r="P47" i="9"/>
  <c r="P102" i="9"/>
  <c r="P278" i="9"/>
  <c r="P303" i="9"/>
  <c r="P311" i="9"/>
  <c r="P115" i="9"/>
  <c r="P220" i="9"/>
  <c r="P181" i="9"/>
  <c r="P75" i="9"/>
  <c r="P98" i="9"/>
  <c r="P175" i="9"/>
  <c r="P68" i="9"/>
  <c r="P159" i="9"/>
  <c r="P72" i="9"/>
  <c r="P133" i="9"/>
  <c r="P174" i="9"/>
  <c r="P54" i="9"/>
  <c r="P165" i="9"/>
  <c r="P184" i="9"/>
  <c r="P19" i="9"/>
  <c r="P128" i="9"/>
  <c r="P23" i="9"/>
  <c r="P166" i="9"/>
  <c r="P286" i="9"/>
  <c r="P186" i="9"/>
  <c r="P135" i="9"/>
  <c r="P42" i="9"/>
  <c r="P73" i="9"/>
  <c r="P119" i="9"/>
  <c r="P284" i="9"/>
  <c r="P183" i="9"/>
  <c r="P21" i="9"/>
  <c r="P310" i="9"/>
  <c r="P212" i="9"/>
  <c r="P295" i="9"/>
  <c r="P27" i="9"/>
  <c r="P91" i="9"/>
  <c r="P214" i="9"/>
  <c r="P162" i="9"/>
  <c r="P76" i="9"/>
  <c r="P92" i="9"/>
  <c r="P78" i="9"/>
  <c r="P33" i="9"/>
  <c r="P161" i="9"/>
  <c r="P39" i="9"/>
  <c r="P145" i="9"/>
  <c r="P56" i="9"/>
  <c r="P153" i="9"/>
  <c r="P24" i="9"/>
  <c r="P52" i="9"/>
  <c r="P60" i="9"/>
  <c r="P157" i="9"/>
  <c r="P288" i="9"/>
  <c r="P30" i="9"/>
  <c r="P180" i="9"/>
  <c r="P49" i="9"/>
  <c r="P168" i="9"/>
  <c r="P215" i="9"/>
  <c r="P82" i="9"/>
  <c r="P130" i="9"/>
  <c r="P291" i="9"/>
  <c r="P90" i="9"/>
  <c r="P25" i="9"/>
  <c r="P155" i="9"/>
  <c r="P105" i="9"/>
  <c r="P143" i="9"/>
  <c r="P87" i="9"/>
  <c r="P154" i="9"/>
  <c r="P195" i="9"/>
  <c r="P28" i="9"/>
  <c r="P167" i="9"/>
  <c r="P122" i="9"/>
  <c r="P109" i="9"/>
  <c r="P144" i="9"/>
  <c r="P188" i="9"/>
  <c r="P116" i="9"/>
  <c r="P150" i="9"/>
  <c r="P293" i="9"/>
  <c r="P121" i="9"/>
  <c r="P304" i="9"/>
  <c r="P187" i="9"/>
  <c r="P192" i="9"/>
  <c r="P77" i="9"/>
  <c r="P41" i="9"/>
  <c r="P136" i="9"/>
  <c r="P149" i="9"/>
  <c r="P96" i="9"/>
  <c r="P45" i="9"/>
  <c r="P196" i="9"/>
  <c r="P118" i="9"/>
  <c r="P114" i="9"/>
  <c r="P213" i="9"/>
  <c r="P189" i="9"/>
  <c r="P141" i="9"/>
  <c r="P22" i="9"/>
  <c r="P314" i="9"/>
  <c r="P200" i="9"/>
  <c r="P163" i="9"/>
  <c r="P126" i="9"/>
  <c r="P97" i="9"/>
  <c r="P140" i="9"/>
  <c r="P173" i="9"/>
  <c r="P312" i="9"/>
  <c r="P67" i="9"/>
  <c r="P164" i="9"/>
  <c r="P127" i="9"/>
  <c r="P211" i="9"/>
  <c r="P305" i="9"/>
  <c r="P289" i="9"/>
  <c r="P160" i="9"/>
  <c r="P137" i="9"/>
  <c r="P294" i="9"/>
  <c r="P38" i="9"/>
  <c r="P26" i="9"/>
  <c r="P218" i="9"/>
  <c r="P86" i="9"/>
  <c r="P279" i="9"/>
  <c r="P32" i="9"/>
  <c r="P53" i="9"/>
  <c r="P46" i="9"/>
  <c r="P290" i="9"/>
  <c r="P93" i="9"/>
  <c r="P131" i="9"/>
  <c r="P182" i="9"/>
  <c r="P170" i="9"/>
  <c r="P194" i="9"/>
  <c r="P132" i="9"/>
  <c r="P117" i="9"/>
  <c r="P104" i="9"/>
  <c r="P176" i="9"/>
  <c r="P139" i="9"/>
  <c r="P309" i="9"/>
  <c r="P99" i="9"/>
  <c r="P69" i="9"/>
  <c r="P199" i="9"/>
  <c r="P169" i="9"/>
  <c r="P134" i="9"/>
  <c r="P179" i="9"/>
  <c r="P296" i="9"/>
  <c r="P95" i="9"/>
  <c r="P120" i="9"/>
  <c r="P217" i="9"/>
  <c r="P44" i="9"/>
  <c r="P108" i="9"/>
  <c r="P80" i="9"/>
  <c r="P277" i="9"/>
  <c r="P74" i="9"/>
  <c r="P302" i="9"/>
  <c r="P299" i="9"/>
  <c r="P61" i="9"/>
  <c r="P177" i="9"/>
  <c r="P151" i="9"/>
  <c r="P57" i="9"/>
  <c r="P142" i="9"/>
  <c r="P193" i="9"/>
  <c r="P146" i="9"/>
  <c r="P300" i="9"/>
  <c r="P306" i="9"/>
  <c r="P281" i="9"/>
  <c r="P55" i="9"/>
  <c r="P156" i="9"/>
  <c r="P50" i="9"/>
  <c r="P79" i="9"/>
  <c r="P287" i="9"/>
  <c r="P48" i="9"/>
  <c r="P84" i="9"/>
  <c r="P298" i="9"/>
  <c r="P285" i="9"/>
  <c r="P29" i="9"/>
  <c r="P89" i="9"/>
  <c r="P138" i="9"/>
  <c r="P51" i="9"/>
  <c r="P66" i="9"/>
  <c r="P123" i="9"/>
  <c r="P31" i="9"/>
  <c r="P216" i="9"/>
  <c r="P125" i="9"/>
  <c r="P190" i="9"/>
  <c r="P178" i="9"/>
  <c r="P81" i="9"/>
  <c r="P152" i="9"/>
  <c r="P58" i="9"/>
  <c r="P59" i="9"/>
  <c r="P307" i="9"/>
  <c r="P35" i="9"/>
  <c r="P103" i="9"/>
  <c r="P43" i="9"/>
  <c r="P158" i="9"/>
  <c r="P282" i="9"/>
  <c r="P219" i="9"/>
  <c r="P185" i="9"/>
  <c r="P40" i="9"/>
  <c r="P20" i="9"/>
  <c r="P283" i="9"/>
  <c r="P110" i="9"/>
  <c r="P64" i="9"/>
  <c r="G313" i="18"/>
  <c r="R267" i="10" l="1"/>
  <c r="D267" i="10" s="1"/>
  <c r="AF241" i="22"/>
  <c r="AP241" i="22"/>
  <c r="U243" i="10" s="1"/>
  <c r="AE308" i="22"/>
  <c r="AP308" i="22"/>
  <c r="U311" i="10" s="1"/>
  <c r="AE288" i="22"/>
  <c r="AP288" i="22"/>
  <c r="U290" i="10" s="1"/>
  <c r="Q306" i="18"/>
  <c r="AE194" i="22"/>
  <c r="AF10" i="22"/>
  <c r="AF288" i="22"/>
  <c r="P256" i="18"/>
  <c r="G259" i="22" s="1"/>
  <c r="P304" i="18"/>
  <c r="G307" i="22" s="1"/>
  <c r="AF307" i="22" s="1"/>
  <c r="AE10" i="22"/>
  <c r="O111" i="18"/>
  <c r="F113" i="22" s="1"/>
  <c r="AO113" i="22" s="1"/>
  <c r="T116" i="10" s="1"/>
  <c r="E113" i="22"/>
  <c r="AN113" i="22" s="1"/>
  <c r="S116" i="10" s="1"/>
  <c r="O254" i="18"/>
  <c r="F257" i="22" s="1"/>
  <c r="AO257" i="22" s="1"/>
  <c r="T259" i="10" s="1"/>
  <c r="E257" i="22"/>
  <c r="AN257" i="22" s="1"/>
  <c r="S259" i="10" s="1"/>
  <c r="O31" i="18"/>
  <c r="E33" i="22"/>
  <c r="AN33" i="22" s="1"/>
  <c r="S36" i="10" s="1"/>
  <c r="F239" i="22"/>
  <c r="AO239" i="22" s="1"/>
  <c r="T241" i="10" s="1"/>
  <c r="P236" i="18"/>
  <c r="G239" i="22" s="1"/>
  <c r="AP239" i="22" s="1"/>
  <c r="U241" i="10" s="1"/>
  <c r="O203" i="18"/>
  <c r="F206" i="22" s="1"/>
  <c r="AO206" i="22" s="1"/>
  <c r="T208" i="10" s="1"/>
  <c r="E206" i="22"/>
  <c r="AN206" i="22" s="1"/>
  <c r="S208" i="10" s="1"/>
  <c r="O153" i="18"/>
  <c r="F156" i="22" s="1"/>
  <c r="AO156" i="22" s="1"/>
  <c r="T158" i="10" s="1"/>
  <c r="E156" i="22"/>
  <c r="AN156" i="22" s="1"/>
  <c r="S158" i="10" s="1"/>
  <c r="O262" i="18"/>
  <c r="F265" i="22" s="1"/>
  <c r="AO265" i="22" s="1"/>
  <c r="E265" i="22"/>
  <c r="AN265" i="22" s="1"/>
  <c r="AF103" i="22"/>
  <c r="L106" i="9" s="1"/>
  <c r="M106" i="9" s="1"/>
  <c r="AE103" i="22"/>
  <c r="F106" i="9" s="1"/>
  <c r="G106" i="9" s="1"/>
  <c r="O116" i="18"/>
  <c r="F118" i="22" s="1"/>
  <c r="AO118" i="22" s="1"/>
  <c r="T121" i="10" s="1"/>
  <c r="E118" i="22"/>
  <c r="AN118" i="22" s="1"/>
  <c r="S121" i="10" s="1"/>
  <c r="O240" i="18"/>
  <c r="F243" i="22" s="1"/>
  <c r="AO243" i="22" s="1"/>
  <c r="T245" i="10" s="1"/>
  <c r="E243" i="22"/>
  <c r="AN243" i="22" s="1"/>
  <c r="S245" i="10" s="1"/>
  <c r="O127" i="18"/>
  <c r="F129" i="22" s="1"/>
  <c r="AO129" i="22" s="1"/>
  <c r="T132" i="10" s="1"/>
  <c r="E129" i="22"/>
  <c r="AN129" i="22" s="1"/>
  <c r="S132" i="10" s="1"/>
  <c r="O60" i="18"/>
  <c r="F62" i="22" s="1"/>
  <c r="AO62" i="22" s="1"/>
  <c r="T65" i="10" s="1"/>
  <c r="E62" i="22"/>
  <c r="AN62" i="22" s="1"/>
  <c r="S65" i="10" s="1"/>
  <c r="O37" i="18"/>
  <c r="E39" i="22"/>
  <c r="AN39" i="22" s="1"/>
  <c r="S42" i="10" s="1"/>
  <c r="O224" i="18"/>
  <c r="F227" i="22" s="1"/>
  <c r="AO227" i="22" s="1"/>
  <c r="T229" i="10" s="1"/>
  <c r="E227" i="22"/>
  <c r="AN227" i="22" s="1"/>
  <c r="S229" i="10" s="1"/>
  <c r="O48" i="18"/>
  <c r="F50" i="22" s="1"/>
  <c r="AO50" i="22" s="1"/>
  <c r="T53" i="10" s="1"/>
  <c r="E50" i="22"/>
  <c r="AN50" i="22" s="1"/>
  <c r="S53" i="10" s="1"/>
  <c r="O290" i="18"/>
  <c r="F293" i="22" s="1"/>
  <c r="AO293" i="22" s="1"/>
  <c r="T295" i="10" s="1"/>
  <c r="E293" i="22"/>
  <c r="AN293" i="22" s="1"/>
  <c r="S295" i="10" s="1"/>
  <c r="F32" i="22"/>
  <c r="AO32" i="22" s="1"/>
  <c r="T35" i="10" s="1"/>
  <c r="P30" i="18"/>
  <c r="G32" i="22" s="1"/>
  <c r="AP32" i="22" s="1"/>
  <c r="U35" i="10" s="1"/>
  <c r="O214" i="18"/>
  <c r="F217" i="22" s="1"/>
  <c r="AO217" i="22" s="1"/>
  <c r="T219" i="10" s="1"/>
  <c r="E217" i="22"/>
  <c r="AN217" i="22" s="1"/>
  <c r="S219" i="10" s="1"/>
  <c r="O99" i="18"/>
  <c r="F101" i="22" s="1"/>
  <c r="AO101" i="22" s="1"/>
  <c r="T104" i="10" s="1"/>
  <c r="E101" i="22"/>
  <c r="AN101" i="22" s="1"/>
  <c r="S104" i="10" s="1"/>
  <c r="O234" i="18"/>
  <c r="F237" i="22" s="1"/>
  <c r="AO237" i="22" s="1"/>
  <c r="T239" i="10" s="1"/>
  <c r="E237" i="22"/>
  <c r="AN237" i="22" s="1"/>
  <c r="S239" i="10" s="1"/>
  <c r="O266" i="18"/>
  <c r="F269" i="22" s="1"/>
  <c r="AO269" i="22" s="1"/>
  <c r="T271" i="10" s="1"/>
  <c r="E269" i="22"/>
  <c r="AN269" i="22" s="1"/>
  <c r="S271" i="10" s="1"/>
  <c r="O247" i="18"/>
  <c r="F250" i="22" s="1"/>
  <c r="AO250" i="22" s="1"/>
  <c r="T252" i="10" s="1"/>
  <c r="E250" i="22"/>
  <c r="AN250" i="22" s="1"/>
  <c r="S252" i="10" s="1"/>
  <c r="O243" i="18"/>
  <c r="E246" i="22"/>
  <c r="AN246" i="22" s="1"/>
  <c r="S248" i="10" s="1"/>
  <c r="O163" i="18"/>
  <c r="F164" i="22" s="1"/>
  <c r="AO164" i="22" s="1"/>
  <c r="T167" i="10" s="1"/>
  <c r="E164" i="22"/>
  <c r="AN164" i="22" s="1"/>
  <c r="S167" i="10" s="1"/>
  <c r="AF194" i="22"/>
  <c r="O291" i="18"/>
  <c r="F294" i="22" s="1"/>
  <c r="AO294" i="22" s="1"/>
  <c r="T296" i="10" s="1"/>
  <c r="E294" i="22"/>
  <c r="AN294" i="22" s="1"/>
  <c r="S296" i="10" s="1"/>
  <c r="O132" i="18"/>
  <c r="F134" i="22" s="1"/>
  <c r="AO134" i="22" s="1"/>
  <c r="T137" i="10" s="1"/>
  <c r="E134" i="22"/>
  <c r="AN134" i="22" s="1"/>
  <c r="S137" i="10" s="1"/>
  <c r="O180" i="18"/>
  <c r="F182" i="22" s="1"/>
  <c r="AO182" i="22" s="1"/>
  <c r="T185" i="10" s="1"/>
  <c r="E182" i="22"/>
  <c r="AN182" i="22" s="1"/>
  <c r="S185" i="10" s="1"/>
  <c r="O161" i="18"/>
  <c r="F163" i="22" s="1"/>
  <c r="AO163" i="22" s="1"/>
  <c r="T166" i="10" s="1"/>
  <c r="E163" i="22"/>
  <c r="AN163" i="22" s="1"/>
  <c r="S166" i="10" s="1"/>
  <c r="O289" i="18"/>
  <c r="F292" i="22" s="1"/>
  <c r="AO292" i="22" s="1"/>
  <c r="T294" i="10" s="1"/>
  <c r="E292" i="22"/>
  <c r="AN292" i="22" s="1"/>
  <c r="S294" i="10" s="1"/>
  <c r="O183" i="18"/>
  <c r="F185" i="22" s="1"/>
  <c r="AO185" i="22" s="1"/>
  <c r="T188" i="10" s="1"/>
  <c r="E185" i="22"/>
  <c r="AN185" i="22" s="1"/>
  <c r="S188" i="10" s="1"/>
  <c r="O181" i="18"/>
  <c r="F183" i="22" s="1"/>
  <c r="AO183" i="22" s="1"/>
  <c r="T186" i="10" s="1"/>
  <c r="E183" i="22"/>
  <c r="AN183" i="22" s="1"/>
  <c r="S186" i="10" s="1"/>
  <c r="F296" i="22"/>
  <c r="AO296" i="22" s="1"/>
  <c r="T298" i="10" s="1"/>
  <c r="P293" i="18"/>
  <c r="G296" i="22" s="1"/>
  <c r="AP296" i="22" s="1"/>
  <c r="U298" i="10" s="1"/>
  <c r="O77" i="18"/>
  <c r="F79" i="22" s="1"/>
  <c r="AO79" i="22" s="1"/>
  <c r="T82" i="10" s="1"/>
  <c r="E79" i="22"/>
  <c r="AN79" i="22" s="1"/>
  <c r="S82" i="10" s="1"/>
  <c r="O194" i="18"/>
  <c r="F196" i="22" s="1"/>
  <c r="AO196" i="22" s="1"/>
  <c r="T199" i="10" s="1"/>
  <c r="E196" i="22"/>
  <c r="AN196" i="22" s="1"/>
  <c r="S199" i="10" s="1"/>
  <c r="O252" i="18"/>
  <c r="F255" i="22" s="1"/>
  <c r="AO255" i="22" s="1"/>
  <c r="T257" i="10" s="1"/>
  <c r="E255" i="22"/>
  <c r="AN255" i="22" s="1"/>
  <c r="S257" i="10" s="1"/>
  <c r="O217" i="18"/>
  <c r="F220" i="22" s="1"/>
  <c r="AO220" i="22" s="1"/>
  <c r="T222" i="10" s="1"/>
  <c r="E220" i="22"/>
  <c r="AN220" i="22" s="1"/>
  <c r="S222" i="10" s="1"/>
  <c r="O273" i="18"/>
  <c r="F276" i="22" s="1"/>
  <c r="AO276" i="22" s="1"/>
  <c r="T278" i="10" s="1"/>
  <c r="E276" i="22"/>
  <c r="AN276" i="22" s="1"/>
  <c r="S278" i="10" s="1"/>
  <c r="O92" i="18"/>
  <c r="F94" i="22" s="1"/>
  <c r="AO94" i="22" s="1"/>
  <c r="T97" i="10" s="1"/>
  <c r="E94" i="22"/>
  <c r="AN94" i="22" s="1"/>
  <c r="S97" i="10" s="1"/>
  <c r="O139" i="18"/>
  <c r="F142" i="22" s="1"/>
  <c r="AO142" i="22" s="1"/>
  <c r="T144" i="10" s="1"/>
  <c r="E142" i="22"/>
  <c r="AN142" i="22" s="1"/>
  <c r="S144" i="10" s="1"/>
  <c r="O223" i="18"/>
  <c r="F226" i="22" s="1"/>
  <c r="AO226" i="22" s="1"/>
  <c r="T228" i="10" s="1"/>
  <c r="E226" i="22"/>
  <c r="AN226" i="22" s="1"/>
  <c r="S228" i="10" s="1"/>
  <c r="O204" i="18"/>
  <c r="F207" i="22" s="1"/>
  <c r="AO207" i="22" s="1"/>
  <c r="T209" i="10" s="1"/>
  <c r="E207" i="22"/>
  <c r="AN207" i="22" s="1"/>
  <c r="S209" i="10" s="1"/>
  <c r="O66" i="18"/>
  <c r="F68" i="22" s="1"/>
  <c r="AO68" i="22" s="1"/>
  <c r="T71" i="10" s="1"/>
  <c r="E68" i="22"/>
  <c r="AN68" i="22" s="1"/>
  <c r="S71" i="10" s="1"/>
  <c r="O199" i="18"/>
  <c r="F202" i="22" s="1"/>
  <c r="AO202" i="22" s="1"/>
  <c r="T204" i="10" s="1"/>
  <c r="E202" i="22"/>
  <c r="AN202" i="22" s="1"/>
  <c r="S204" i="10" s="1"/>
  <c r="O35" i="18"/>
  <c r="F37" i="22" s="1"/>
  <c r="AO37" i="22" s="1"/>
  <c r="T40" i="10" s="1"/>
  <c r="E37" i="22"/>
  <c r="AN37" i="22" s="1"/>
  <c r="S40" i="10" s="1"/>
  <c r="O131" i="18"/>
  <c r="F133" i="22" s="1"/>
  <c r="AO133" i="22" s="1"/>
  <c r="T136" i="10" s="1"/>
  <c r="E133" i="22"/>
  <c r="AN133" i="22" s="1"/>
  <c r="S136" i="10" s="1"/>
  <c r="AF239" i="22"/>
  <c r="L241" i="9" s="1"/>
  <c r="M241" i="9" s="1"/>
  <c r="AE239" i="22"/>
  <c r="F241" i="9" s="1"/>
  <c r="O171" i="18"/>
  <c r="F173" i="22" s="1"/>
  <c r="AO173" i="22" s="1"/>
  <c r="T176" i="10" s="1"/>
  <c r="E173" i="22"/>
  <c r="AN173" i="22" s="1"/>
  <c r="S176" i="10" s="1"/>
  <c r="O150" i="18"/>
  <c r="F153" i="22" s="1"/>
  <c r="AO153" i="22" s="1"/>
  <c r="T155" i="10" s="1"/>
  <c r="E153" i="22"/>
  <c r="AN153" i="22" s="1"/>
  <c r="S155" i="10" s="1"/>
  <c r="O283" i="18"/>
  <c r="F286" i="22" s="1"/>
  <c r="AO286" i="22" s="1"/>
  <c r="T288" i="10" s="1"/>
  <c r="E286" i="22"/>
  <c r="AN286" i="22" s="1"/>
  <c r="S288" i="10" s="1"/>
  <c r="O142" i="18"/>
  <c r="F145" i="22" s="1"/>
  <c r="AO145" i="22" s="1"/>
  <c r="T147" i="10" s="1"/>
  <c r="E145" i="22"/>
  <c r="AN145" i="22" s="1"/>
  <c r="S147" i="10" s="1"/>
  <c r="D320" i="22"/>
  <c r="O109" i="18"/>
  <c r="F111" i="22" s="1"/>
  <c r="AO111" i="22" s="1"/>
  <c r="T114" i="10" s="1"/>
  <c r="E111" i="22"/>
  <c r="AN111" i="22" s="1"/>
  <c r="S114" i="10" s="1"/>
  <c r="O21" i="18"/>
  <c r="F23" i="22" s="1"/>
  <c r="AO23" i="22" s="1"/>
  <c r="T26" i="10" s="1"/>
  <c r="E23" i="22"/>
  <c r="AN23" i="22" s="1"/>
  <c r="S26" i="10" s="1"/>
  <c r="O136" i="18"/>
  <c r="F138" i="22" s="1"/>
  <c r="AO138" i="22" s="1"/>
  <c r="T141" i="10" s="1"/>
  <c r="E138" i="22"/>
  <c r="AN138" i="22" s="1"/>
  <c r="S141" i="10" s="1"/>
  <c r="O143" i="18"/>
  <c r="F146" i="22" s="1"/>
  <c r="AO146" i="22" s="1"/>
  <c r="T148" i="10" s="1"/>
  <c r="E146" i="22"/>
  <c r="AN146" i="22" s="1"/>
  <c r="S148" i="10" s="1"/>
  <c r="O274" i="18"/>
  <c r="F277" i="22" s="1"/>
  <c r="AO277" i="22" s="1"/>
  <c r="T279" i="10" s="1"/>
  <c r="E277" i="22"/>
  <c r="AN277" i="22" s="1"/>
  <c r="S279" i="10" s="1"/>
  <c r="O279" i="18"/>
  <c r="E282" i="22"/>
  <c r="AN282" i="22" s="1"/>
  <c r="S284" i="10" s="1"/>
  <c r="O28" i="18"/>
  <c r="F30" i="22" s="1"/>
  <c r="AO30" i="22" s="1"/>
  <c r="T33" i="10" s="1"/>
  <c r="E30" i="22"/>
  <c r="AN30" i="22" s="1"/>
  <c r="S33" i="10" s="1"/>
  <c r="AE241" i="22"/>
  <c r="O258" i="18"/>
  <c r="F261" i="22" s="1"/>
  <c r="AO261" i="22" s="1"/>
  <c r="T263" i="10" s="1"/>
  <c r="E261" i="22"/>
  <c r="AN261" i="22" s="1"/>
  <c r="S263" i="10" s="1"/>
  <c r="O36" i="18"/>
  <c r="F38" i="22" s="1"/>
  <c r="AO38" i="22" s="1"/>
  <c r="T41" i="10" s="1"/>
  <c r="E38" i="22"/>
  <c r="AN38" i="22" s="1"/>
  <c r="S41" i="10" s="1"/>
  <c r="O186" i="18"/>
  <c r="F188" i="22" s="1"/>
  <c r="AO188" i="22" s="1"/>
  <c r="T191" i="10" s="1"/>
  <c r="E188" i="22"/>
  <c r="AN188" i="22" s="1"/>
  <c r="S191" i="10" s="1"/>
  <c r="AF123" i="22"/>
  <c r="AE123" i="22"/>
  <c r="O184" i="18"/>
  <c r="F186" i="22" s="1"/>
  <c r="AO186" i="22" s="1"/>
  <c r="T189" i="10" s="1"/>
  <c r="E186" i="22"/>
  <c r="AN186" i="22" s="1"/>
  <c r="S189" i="10" s="1"/>
  <c r="O75" i="18"/>
  <c r="F77" i="22" s="1"/>
  <c r="AO77" i="22" s="1"/>
  <c r="T80" i="10" s="1"/>
  <c r="E77" i="22"/>
  <c r="AN77" i="22" s="1"/>
  <c r="S80" i="10" s="1"/>
  <c r="O27" i="18"/>
  <c r="E29" i="22"/>
  <c r="AN29" i="22" s="1"/>
  <c r="S32" i="10" s="1"/>
  <c r="O175" i="18"/>
  <c r="F177" i="22" s="1"/>
  <c r="AO177" i="22" s="1"/>
  <c r="T180" i="10" s="1"/>
  <c r="E177" i="22"/>
  <c r="AN177" i="22" s="1"/>
  <c r="S180" i="10" s="1"/>
  <c r="O200" i="18"/>
  <c r="F203" i="22" s="1"/>
  <c r="AO203" i="22" s="1"/>
  <c r="T205" i="10" s="1"/>
  <c r="E203" i="22"/>
  <c r="AN203" i="22" s="1"/>
  <c r="S205" i="10" s="1"/>
  <c r="O195" i="18"/>
  <c r="F197" i="22" s="1"/>
  <c r="AO197" i="22" s="1"/>
  <c r="T200" i="10" s="1"/>
  <c r="E197" i="22"/>
  <c r="AN197" i="22" s="1"/>
  <c r="S200" i="10" s="1"/>
  <c r="O63" i="18"/>
  <c r="F65" i="22" s="1"/>
  <c r="AO65" i="22" s="1"/>
  <c r="T68" i="10" s="1"/>
  <c r="E65" i="22"/>
  <c r="AN65" i="22" s="1"/>
  <c r="S68" i="10" s="1"/>
  <c r="O172" i="18"/>
  <c r="E174" i="22"/>
  <c r="AN174" i="22" s="1"/>
  <c r="S177" i="10" s="1"/>
  <c r="O72" i="18"/>
  <c r="F74" i="22" s="1"/>
  <c r="AO74" i="22" s="1"/>
  <c r="T77" i="10" s="1"/>
  <c r="E74" i="22"/>
  <c r="O16" i="18"/>
  <c r="E18" i="22"/>
  <c r="AN18" i="22" s="1"/>
  <c r="S21" i="10" s="1"/>
  <c r="O91" i="18"/>
  <c r="E93" i="22"/>
  <c r="AN93" i="22" s="1"/>
  <c r="S96" i="10" s="1"/>
  <c r="O74" i="18"/>
  <c r="E76" i="22"/>
  <c r="AN76" i="22" s="1"/>
  <c r="S79" i="10" s="1"/>
  <c r="O9" i="18"/>
  <c r="E12" i="22"/>
  <c r="AN12" i="22" s="1"/>
  <c r="S14" i="10" s="1"/>
  <c r="O17" i="18"/>
  <c r="F19" i="22" s="1"/>
  <c r="AO19" i="22" s="1"/>
  <c r="T22" i="10" s="1"/>
  <c r="E19" i="22"/>
  <c r="AN19" i="22" s="1"/>
  <c r="S22" i="10" s="1"/>
  <c r="O78" i="18"/>
  <c r="F80" i="22" s="1"/>
  <c r="AO80" i="22" s="1"/>
  <c r="T83" i="10" s="1"/>
  <c r="E80" i="22"/>
  <c r="AN80" i="22" s="1"/>
  <c r="S83" i="10" s="1"/>
  <c r="O242" i="18"/>
  <c r="F245" i="22" s="1"/>
  <c r="AO245" i="22" s="1"/>
  <c r="T247" i="10" s="1"/>
  <c r="E245" i="22"/>
  <c r="AN245" i="22" s="1"/>
  <c r="S247" i="10" s="1"/>
  <c r="O15" i="18"/>
  <c r="F17" i="22" s="1"/>
  <c r="AO17" i="22" s="1"/>
  <c r="T20" i="10" s="1"/>
  <c r="E17" i="22"/>
  <c r="AN17" i="22" s="1"/>
  <c r="S20" i="10" s="1"/>
  <c r="O272" i="18"/>
  <c r="F275" i="22" s="1"/>
  <c r="AO275" i="22" s="1"/>
  <c r="T277" i="10" s="1"/>
  <c r="E275" i="22"/>
  <c r="AN275" i="22" s="1"/>
  <c r="S277" i="10" s="1"/>
  <c r="O100" i="18"/>
  <c r="F102" i="22" s="1"/>
  <c r="AO102" i="22" s="1"/>
  <c r="T105" i="10" s="1"/>
  <c r="E102" i="22"/>
  <c r="AN102" i="22" s="1"/>
  <c r="S105" i="10" s="1"/>
  <c r="O135" i="18"/>
  <c r="F137" i="22" s="1"/>
  <c r="AO137" i="22" s="1"/>
  <c r="T140" i="10" s="1"/>
  <c r="E137" i="22"/>
  <c r="AN137" i="22" s="1"/>
  <c r="S140" i="10" s="1"/>
  <c r="O164" i="18"/>
  <c r="F166" i="22" s="1"/>
  <c r="AO166" i="22" s="1"/>
  <c r="T169" i="10" s="1"/>
  <c r="E166" i="22"/>
  <c r="AN166" i="22" s="1"/>
  <c r="S169" i="10" s="1"/>
  <c r="O125" i="18"/>
  <c r="F127" i="22" s="1"/>
  <c r="AO127" i="22" s="1"/>
  <c r="T130" i="10" s="1"/>
  <c r="E127" i="22"/>
  <c r="AN127" i="22" s="1"/>
  <c r="S130" i="10" s="1"/>
  <c r="O286" i="18"/>
  <c r="E289" i="22"/>
  <c r="AN289" i="22" s="1"/>
  <c r="S291" i="10" s="1"/>
  <c r="O133" i="18"/>
  <c r="E135" i="22"/>
  <c r="AN135" i="22" s="1"/>
  <c r="S138" i="10" s="1"/>
  <c r="O122" i="18"/>
  <c r="E124" i="22"/>
  <c r="AN124" i="22" s="1"/>
  <c r="S127" i="10" s="1"/>
  <c r="O196" i="18"/>
  <c r="E199" i="22"/>
  <c r="AN199" i="22" s="1"/>
  <c r="S201" i="10" s="1"/>
  <c r="O288" i="18"/>
  <c r="E291" i="22"/>
  <c r="AN291" i="22" s="1"/>
  <c r="S293" i="10" s="1"/>
  <c r="O114" i="18"/>
  <c r="E116" i="22"/>
  <c r="AN116" i="22" s="1"/>
  <c r="S119" i="10" s="1"/>
  <c r="O260" i="18"/>
  <c r="E263" i="22"/>
  <c r="AN263" i="22" s="1"/>
  <c r="S265" i="10" s="1"/>
  <c r="O281" i="18"/>
  <c r="E284" i="22"/>
  <c r="AN284" i="22" s="1"/>
  <c r="S286" i="10" s="1"/>
  <c r="O151" i="18"/>
  <c r="E154" i="22"/>
  <c r="AN154" i="22" s="1"/>
  <c r="S156" i="10" s="1"/>
  <c r="O241" i="18"/>
  <c r="E244" i="22"/>
  <c r="AN244" i="22" s="1"/>
  <c r="S246" i="10" s="1"/>
  <c r="O82" i="18"/>
  <c r="F84" i="22" s="1"/>
  <c r="AO84" i="22" s="1"/>
  <c r="T87" i="10" s="1"/>
  <c r="E84" i="22"/>
  <c r="AN84" i="22" s="1"/>
  <c r="S87" i="10" s="1"/>
  <c r="O14" i="18"/>
  <c r="E16" i="22"/>
  <c r="AN16" i="22" s="1"/>
  <c r="S19" i="10" s="1"/>
  <c r="O128" i="18"/>
  <c r="E130" i="22"/>
  <c r="AN130" i="22" s="1"/>
  <c r="S133" i="10" s="1"/>
  <c r="O267" i="18"/>
  <c r="E270" i="22"/>
  <c r="AN270" i="22" s="1"/>
  <c r="S272" i="10" s="1"/>
  <c r="O54" i="18"/>
  <c r="E56" i="22"/>
  <c r="AN56" i="22" s="1"/>
  <c r="S59" i="10" s="1"/>
  <c r="O154" i="18"/>
  <c r="E198" i="22"/>
  <c r="AN198" i="22" s="1"/>
  <c r="S159" i="10" s="1"/>
  <c r="O102" i="18"/>
  <c r="E104" i="22"/>
  <c r="AN104" i="22" s="1"/>
  <c r="S107" i="10" s="1"/>
  <c r="O18" i="18"/>
  <c r="E20" i="22"/>
  <c r="AN20" i="22" s="1"/>
  <c r="S23" i="10" s="1"/>
  <c r="O57" i="18"/>
  <c r="E59" i="22"/>
  <c r="AN59" i="22" s="1"/>
  <c r="S62" i="10" s="1"/>
  <c r="O255" i="18"/>
  <c r="E258" i="22"/>
  <c r="AN258" i="22" s="1"/>
  <c r="S260" i="10" s="1"/>
  <c r="O23" i="18"/>
  <c r="E25" i="22"/>
  <c r="AN25" i="22" s="1"/>
  <c r="S28" i="10" s="1"/>
  <c r="O129" i="18"/>
  <c r="F131" i="22" s="1"/>
  <c r="AO131" i="22" s="1"/>
  <c r="T134" i="10" s="1"/>
  <c r="E131" i="22"/>
  <c r="AN131" i="22" s="1"/>
  <c r="S134" i="10" s="1"/>
  <c r="O226" i="18"/>
  <c r="E229" i="22"/>
  <c r="AN229" i="22" s="1"/>
  <c r="S231" i="10" s="1"/>
  <c r="O208" i="18"/>
  <c r="E210" i="22"/>
  <c r="AN210" i="22" s="1"/>
  <c r="S213" i="10" s="1"/>
  <c r="O179" i="18"/>
  <c r="F181" i="22" s="1"/>
  <c r="AO181" i="22" s="1"/>
  <c r="T184" i="10" s="1"/>
  <c r="E181" i="22"/>
  <c r="AN181" i="22" s="1"/>
  <c r="S184" i="10" s="1"/>
  <c r="O271" i="18"/>
  <c r="F274" i="22" s="1"/>
  <c r="AO274" i="22" s="1"/>
  <c r="T276" i="10" s="1"/>
  <c r="E274" i="22"/>
  <c r="AN274" i="22" s="1"/>
  <c r="S276" i="10" s="1"/>
  <c r="O44" i="18"/>
  <c r="E46" i="22"/>
  <c r="AN46" i="22" s="1"/>
  <c r="S49" i="10" s="1"/>
  <c r="O167" i="18"/>
  <c r="E169" i="22"/>
  <c r="AN169" i="22" s="1"/>
  <c r="S172" i="10" s="1"/>
  <c r="F9" i="22"/>
  <c r="AO9" i="22" s="1"/>
  <c r="P6" i="18"/>
  <c r="G9" i="22" s="1"/>
  <c r="AP9" i="22" s="1"/>
  <c r="U11" i="10" s="1"/>
  <c r="O169" i="18"/>
  <c r="E171" i="22"/>
  <c r="AN171" i="22" s="1"/>
  <c r="S174" i="10" s="1"/>
  <c r="O295" i="18"/>
  <c r="E298" i="22"/>
  <c r="AN298" i="22" s="1"/>
  <c r="S300" i="10" s="1"/>
  <c r="O85" i="18"/>
  <c r="E87" i="22"/>
  <c r="AN87" i="22" s="1"/>
  <c r="S90" i="10" s="1"/>
  <c r="O112" i="18"/>
  <c r="F114" i="22" s="1"/>
  <c r="AO114" i="22" s="1"/>
  <c r="T117" i="10" s="1"/>
  <c r="E114" i="22"/>
  <c r="AN114" i="22" s="1"/>
  <c r="S117" i="10" s="1"/>
  <c r="O126" i="18"/>
  <c r="E128" i="22"/>
  <c r="AN128" i="22" s="1"/>
  <c r="S131" i="10" s="1"/>
  <c r="O113" i="18"/>
  <c r="E115" i="22"/>
  <c r="AN115" i="22" s="1"/>
  <c r="S118" i="10" s="1"/>
  <c r="O29" i="18"/>
  <c r="E31" i="22"/>
  <c r="AN31" i="22" s="1"/>
  <c r="S34" i="10" s="1"/>
  <c r="O219" i="18"/>
  <c r="E222" i="22"/>
  <c r="AN222" i="22" s="1"/>
  <c r="S224" i="10" s="1"/>
  <c r="O104" i="18"/>
  <c r="E106" i="22"/>
  <c r="AN106" i="22" s="1"/>
  <c r="S109" i="10" s="1"/>
  <c r="O292" i="18"/>
  <c r="E295" i="22"/>
  <c r="AN295" i="22" s="1"/>
  <c r="S297" i="10" s="1"/>
  <c r="O308" i="18"/>
  <c r="F310" i="22" s="1"/>
  <c r="AO310" i="22" s="1"/>
  <c r="T313" i="10" s="1"/>
  <c r="E310" i="22"/>
  <c r="AN310" i="22" s="1"/>
  <c r="S313" i="10" s="1"/>
  <c r="O120" i="18"/>
  <c r="E122" i="22"/>
  <c r="AN122" i="22" s="1"/>
  <c r="S125" i="10" s="1"/>
  <c r="O263" i="18"/>
  <c r="E266" i="22"/>
  <c r="AN266" i="22" s="1"/>
  <c r="S268" i="10" s="1"/>
  <c r="O93" i="18"/>
  <c r="F95" i="22" s="1"/>
  <c r="AO95" i="22" s="1"/>
  <c r="T98" i="10" s="1"/>
  <c r="E95" i="22"/>
  <c r="AN95" i="22" s="1"/>
  <c r="S98" i="10" s="1"/>
  <c r="O250" i="18"/>
  <c r="E253" i="22"/>
  <c r="AN253" i="22" s="1"/>
  <c r="S255" i="10" s="1"/>
  <c r="O235" i="18"/>
  <c r="E238" i="22"/>
  <c r="AN238" i="22" s="1"/>
  <c r="S240" i="10" s="1"/>
  <c r="P310" i="18"/>
  <c r="G313" i="22" s="1"/>
  <c r="O302" i="18"/>
  <c r="E305" i="22"/>
  <c r="AN305" i="22" s="1"/>
  <c r="S307" i="10" s="1"/>
  <c r="F311" i="22"/>
  <c r="AO311" i="22" s="1"/>
  <c r="T314" i="10" s="1"/>
  <c r="P309" i="18"/>
  <c r="G311" i="22" s="1"/>
  <c r="AP311" i="22" s="1"/>
  <c r="U314" i="10" s="1"/>
  <c r="O296" i="18"/>
  <c r="F299" i="22" s="1"/>
  <c r="AO299" i="22" s="1"/>
  <c r="T301" i="10" s="1"/>
  <c r="E299" i="22"/>
  <c r="AN299" i="22" s="1"/>
  <c r="S301" i="10" s="1"/>
  <c r="O98" i="18"/>
  <c r="E100" i="22"/>
  <c r="AN100" i="22" s="1"/>
  <c r="S103" i="10" s="1"/>
  <c r="O13" i="18"/>
  <c r="F139" i="22" s="1"/>
  <c r="AO139" i="22" s="1"/>
  <c r="T18" i="10" s="1"/>
  <c r="E139" i="22"/>
  <c r="AN139" i="22" s="1"/>
  <c r="S18" i="10" s="1"/>
  <c r="O191" i="18"/>
  <c r="F192" i="22" s="1"/>
  <c r="AO192" i="22" s="1"/>
  <c r="T195" i="10" s="1"/>
  <c r="E192" i="22"/>
  <c r="AN192" i="22" s="1"/>
  <c r="S195" i="10" s="1"/>
  <c r="O245" i="18"/>
  <c r="E248" i="22"/>
  <c r="AN248" i="22" s="1"/>
  <c r="S250" i="10" s="1"/>
  <c r="O123" i="18"/>
  <c r="E125" i="22"/>
  <c r="AN125" i="22" s="1"/>
  <c r="S128" i="10" s="1"/>
  <c r="O221" i="18"/>
  <c r="E224" i="22"/>
  <c r="AN224" i="22" s="1"/>
  <c r="S226" i="10" s="1"/>
  <c r="O117" i="18"/>
  <c r="F119" i="22" s="1"/>
  <c r="AO119" i="22" s="1"/>
  <c r="T122" i="10" s="1"/>
  <c r="E119" i="22"/>
  <c r="AN119" i="22" s="1"/>
  <c r="S122" i="10" s="1"/>
  <c r="O108" i="18"/>
  <c r="E110" i="22"/>
  <c r="AN110" i="22" s="1"/>
  <c r="O230" i="18"/>
  <c r="F233" i="22" s="1"/>
  <c r="AO233" i="22" s="1"/>
  <c r="T235" i="10" s="1"/>
  <c r="E233" i="22"/>
  <c r="AN233" i="22" s="1"/>
  <c r="S235" i="10" s="1"/>
  <c r="O43" i="18"/>
  <c r="F45" i="22" s="1"/>
  <c r="AO45" i="22" s="1"/>
  <c r="T48" i="10" s="1"/>
  <c r="E45" i="22"/>
  <c r="AN45" i="22" s="1"/>
  <c r="S48" i="10" s="1"/>
  <c r="O233" i="18"/>
  <c r="F236" i="22" s="1"/>
  <c r="AO236" i="22" s="1"/>
  <c r="T238" i="10" s="1"/>
  <c r="E236" i="22"/>
  <c r="AN236" i="22" s="1"/>
  <c r="S238" i="10" s="1"/>
  <c r="O137" i="18"/>
  <c r="E140" i="22"/>
  <c r="AN140" i="22" s="1"/>
  <c r="S142" i="10" s="1"/>
  <c r="O41" i="18"/>
  <c r="F43" i="22" s="1"/>
  <c r="AO43" i="22" s="1"/>
  <c r="T46" i="10" s="1"/>
  <c r="E43" i="22"/>
  <c r="AN43" i="22" s="1"/>
  <c r="S46" i="10" s="1"/>
  <c r="O130" i="18"/>
  <c r="F132" i="22" s="1"/>
  <c r="AO132" i="22" s="1"/>
  <c r="T135" i="10" s="1"/>
  <c r="E132" i="22"/>
  <c r="AN132" i="22" s="1"/>
  <c r="S135" i="10" s="1"/>
  <c r="O156" i="18"/>
  <c r="F158" i="22" s="1"/>
  <c r="AO158" i="22" s="1"/>
  <c r="T161" i="10" s="1"/>
  <c r="E158" i="22"/>
  <c r="AN158" i="22" s="1"/>
  <c r="S161" i="10" s="1"/>
  <c r="O162" i="18"/>
  <c r="F165" i="22" s="1"/>
  <c r="AO165" i="22" s="1"/>
  <c r="T168" i="10" s="1"/>
  <c r="E165" i="22"/>
  <c r="AN165" i="22" s="1"/>
  <c r="S168" i="10" s="1"/>
  <c r="O188" i="18"/>
  <c r="F190" i="22" s="1"/>
  <c r="AO190" i="22" s="1"/>
  <c r="T193" i="10" s="1"/>
  <c r="E190" i="22"/>
  <c r="AN190" i="22" s="1"/>
  <c r="S193" i="10" s="1"/>
  <c r="O305" i="18"/>
  <c r="F312" i="22" s="1"/>
  <c r="AO312" i="22" s="1"/>
  <c r="T310" i="10" s="1"/>
  <c r="E312" i="22"/>
  <c r="AN312" i="22" s="1"/>
  <c r="S310" i="10" s="1"/>
  <c r="O55" i="18"/>
  <c r="E57" i="22"/>
  <c r="AN57" i="22" s="1"/>
  <c r="S60" i="10" s="1"/>
  <c r="O246" i="18"/>
  <c r="E249" i="22"/>
  <c r="AN249" i="22" s="1"/>
  <c r="S251" i="10" s="1"/>
  <c r="O146" i="18"/>
  <c r="E149" i="22"/>
  <c r="AN149" i="22" s="1"/>
  <c r="S151" i="10" s="1"/>
  <c r="O50" i="18"/>
  <c r="E52" i="22"/>
  <c r="AN52" i="22" s="1"/>
  <c r="S55" i="10" s="1"/>
  <c r="O270" i="18"/>
  <c r="E273" i="22"/>
  <c r="AN273" i="22" s="1"/>
  <c r="S275" i="10" s="1"/>
  <c r="O32" i="18"/>
  <c r="E34" i="22"/>
  <c r="AN34" i="22" s="1"/>
  <c r="S37" i="10" s="1"/>
  <c r="O299" i="18"/>
  <c r="E302" i="22"/>
  <c r="AN302" i="22" s="1"/>
  <c r="S304" i="10" s="1"/>
  <c r="O87" i="18"/>
  <c r="E89" i="22"/>
  <c r="AN89" i="22" s="1"/>
  <c r="S92" i="10" s="1"/>
  <c r="O52" i="18"/>
  <c r="E54" i="22"/>
  <c r="AN54" i="22" s="1"/>
  <c r="S57" i="10" s="1"/>
  <c r="O307" i="18"/>
  <c r="F309" i="22" s="1"/>
  <c r="AO309" i="22" s="1"/>
  <c r="T312" i="10" s="1"/>
  <c r="E309" i="22"/>
  <c r="AN309" i="22" s="1"/>
  <c r="S312" i="10" s="1"/>
  <c r="O213" i="18"/>
  <c r="E216" i="22"/>
  <c r="AN216" i="22" s="1"/>
  <c r="S218" i="10" s="1"/>
  <c r="O138" i="18"/>
  <c r="E141" i="22"/>
  <c r="AN141" i="22" s="1"/>
  <c r="S143" i="10" s="1"/>
  <c r="P187" i="18"/>
  <c r="G189" i="22" s="1"/>
  <c r="O301" i="18"/>
  <c r="E304" i="22"/>
  <c r="AN304" i="22" s="1"/>
  <c r="S306" i="10" s="1"/>
  <c r="O25" i="18"/>
  <c r="F27" i="22" s="1"/>
  <c r="AO27" i="22" s="1"/>
  <c r="T30" i="10" s="1"/>
  <c r="E27" i="22"/>
  <c r="AN27" i="22" s="1"/>
  <c r="S30" i="10" s="1"/>
  <c r="O284" i="18"/>
  <c r="E287" i="22"/>
  <c r="AN287" i="22" s="1"/>
  <c r="S289" i="10" s="1"/>
  <c r="O89" i="18"/>
  <c r="F91" i="22" s="1"/>
  <c r="AO91" i="22" s="1"/>
  <c r="T94" i="10" s="1"/>
  <c r="E91" i="22"/>
  <c r="AN91" i="22" s="1"/>
  <c r="S94" i="10" s="1"/>
  <c r="E278" i="22"/>
  <c r="AN278" i="22" s="1"/>
  <c r="S280" i="10" s="1"/>
  <c r="O275" i="18"/>
  <c r="O79" i="18"/>
  <c r="E81" i="22"/>
  <c r="AN81" i="22" s="1"/>
  <c r="S84" i="10" s="1"/>
  <c r="O103" i="18"/>
  <c r="E105" i="22"/>
  <c r="AN105" i="22" s="1"/>
  <c r="S108" i="10" s="1"/>
  <c r="O276" i="18"/>
  <c r="F279" i="22" s="1"/>
  <c r="AO279" i="22" s="1"/>
  <c r="T281" i="10" s="1"/>
  <c r="E279" i="22"/>
  <c r="AN279" i="22" s="1"/>
  <c r="S281" i="10" s="1"/>
  <c r="O225" i="18"/>
  <c r="E228" i="22"/>
  <c r="AN228" i="22" s="1"/>
  <c r="S230" i="10" s="1"/>
  <c r="O80" i="18"/>
  <c r="F82" i="22" s="1"/>
  <c r="AO82" i="22" s="1"/>
  <c r="T85" i="10" s="1"/>
  <c r="E82" i="22"/>
  <c r="AN82" i="22" s="1"/>
  <c r="S85" i="10" s="1"/>
  <c r="O201" i="18"/>
  <c r="E204" i="22"/>
  <c r="AN204" i="22" s="1"/>
  <c r="S206" i="10" s="1"/>
  <c r="O232" i="18"/>
  <c r="E235" i="22"/>
  <c r="AN235" i="22" s="1"/>
  <c r="S237" i="10" s="1"/>
  <c r="O248" i="18"/>
  <c r="F251" i="22" s="1"/>
  <c r="AO251" i="22" s="1"/>
  <c r="T253" i="10" s="1"/>
  <c r="F253" i="10" s="1"/>
  <c r="E251" i="22"/>
  <c r="AN251" i="22" s="1"/>
  <c r="S253" i="10" s="1"/>
  <c r="E253" i="10" s="1"/>
  <c r="O297" i="18"/>
  <c r="E300" i="22"/>
  <c r="AN300" i="22" s="1"/>
  <c r="S302" i="10" s="1"/>
  <c r="O170" i="18"/>
  <c r="F172" i="22" s="1"/>
  <c r="AO172" i="22" s="1"/>
  <c r="T175" i="10" s="1"/>
  <c r="E172" i="22"/>
  <c r="AN172" i="22" s="1"/>
  <c r="S175" i="10" s="1"/>
  <c r="O190" i="18"/>
  <c r="F191" i="22" s="1"/>
  <c r="AO191" i="22" s="1"/>
  <c r="T194" i="10" s="1"/>
  <c r="E191" i="22"/>
  <c r="AN191" i="22" s="1"/>
  <c r="S194" i="10" s="1"/>
  <c r="O202" i="18"/>
  <c r="F205" i="22" s="1"/>
  <c r="AO205" i="22" s="1"/>
  <c r="T207" i="10" s="1"/>
  <c r="E205" i="22"/>
  <c r="AN205" i="22" s="1"/>
  <c r="S207" i="10" s="1"/>
  <c r="O97" i="18"/>
  <c r="E99" i="22"/>
  <c r="AN99" i="22" s="1"/>
  <c r="S102" i="10" s="1"/>
  <c r="O155" i="18"/>
  <c r="F157" i="22" s="1"/>
  <c r="AO157" i="22" s="1"/>
  <c r="T160" i="10" s="1"/>
  <c r="E157" i="22"/>
  <c r="AN157" i="22" s="1"/>
  <c r="S160" i="10" s="1"/>
  <c r="O119" i="18"/>
  <c r="E121" i="22"/>
  <c r="AN121" i="22" s="1"/>
  <c r="S124" i="10" s="1"/>
  <c r="E231" i="22"/>
  <c r="AN231" i="22" s="1"/>
  <c r="S233" i="10" s="1"/>
  <c r="O228" i="18"/>
  <c r="O11" i="18"/>
  <c r="E14" i="22"/>
  <c r="AN14" i="22" s="1"/>
  <c r="S16" i="10" s="1"/>
  <c r="O81" i="18"/>
  <c r="F83" i="22" s="1"/>
  <c r="AO83" i="22" s="1"/>
  <c r="T86" i="10" s="1"/>
  <c r="E83" i="22"/>
  <c r="AN83" i="22" s="1"/>
  <c r="S86" i="10" s="1"/>
  <c r="O144" i="18"/>
  <c r="E147" i="22"/>
  <c r="AN147" i="22" s="1"/>
  <c r="S149" i="10" s="1"/>
  <c r="O268" i="18"/>
  <c r="F271" i="22" s="1"/>
  <c r="AO271" i="22" s="1"/>
  <c r="T273" i="10" s="1"/>
  <c r="E271" i="22"/>
  <c r="AN271" i="22" s="1"/>
  <c r="S273" i="10" s="1"/>
  <c r="O178" i="18"/>
  <c r="E180" i="22"/>
  <c r="AN180" i="22" s="1"/>
  <c r="S183" i="10" s="1"/>
  <c r="O38" i="18"/>
  <c r="E40" i="22"/>
  <c r="AN40" i="22" s="1"/>
  <c r="S43" i="10" s="1"/>
  <c r="O261" i="18"/>
  <c r="E264" i="22"/>
  <c r="AN264" i="22" s="1"/>
  <c r="S266" i="10" s="1"/>
  <c r="O118" i="18"/>
  <c r="E120" i="22"/>
  <c r="AN120" i="22" s="1"/>
  <c r="S123" i="10" s="1"/>
  <c r="O59" i="18"/>
  <c r="E61" i="22"/>
  <c r="AN61" i="22" s="1"/>
  <c r="S64" i="10" s="1"/>
  <c r="O39" i="18"/>
  <c r="E41" i="22"/>
  <c r="AN41" i="22" s="1"/>
  <c r="S44" i="10" s="1"/>
  <c r="O269" i="18"/>
  <c r="E272" i="22"/>
  <c r="AN272" i="22" s="1"/>
  <c r="S274" i="10" s="1"/>
  <c r="O8" i="18"/>
  <c r="E11" i="22"/>
  <c r="AN11" i="22" s="1"/>
  <c r="S13" i="10" s="1"/>
  <c r="O95" i="18"/>
  <c r="E97" i="22"/>
  <c r="AN97" i="22" s="1"/>
  <c r="S100" i="10" s="1"/>
  <c r="O206" i="18"/>
  <c r="F208" i="22" s="1"/>
  <c r="AO208" i="22" s="1"/>
  <c r="T211" i="10" s="1"/>
  <c r="E208" i="22"/>
  <c r="AN208" i="22" s="1"/>
  <c r="S211" i="10" s="1"/>
  <c r="O22" i="18"/>
  <c r="E24" i="22"/>
  <c r="AN24" i="22" s="1"/>
  <c r="S27" i="10" s="1"/>
  <c r="O68" i="18"/>
  <c r="F70" i="22" s="1"/>
  <c r="AO70" i="22" s="1"/>
  <c r="T73" i="10" s="1"/>
  <c r="E70" i="22"/>
  <c r="AN70" i="22" s="1"/>
  <c r="S73" i="10" s="1"/>
  <c r="O73" i="18"/>
  <c r="F75" i="22" s="1"/>
  <c r="AO75" i="22" s="1"/>
  <c r="T78" i="10" s="1"/>
  <c r="E75" i="22"/>
  <c r="AN75" i="22" s="1"/>
  <c r="S78" i="10" s="1"/>
  <c r="O19" i="18"/>
  <c r="F21" i="22" s="1"/>
  <c r="AO21" i="22" s="1"/>
  <c r="T24" i="10" s="1"/>
  <c r="E21" i="22"/>
  <c r="AN21" i="22" s="1"/>
  <c r="S24" i="10" s="1"/>
  <c r="O215" i="18"/>
  <c r="E218" i="22"/>
  <c r="AN218" i="22" s="1"/>
  <c r="S220" i="10" s="1"/>
  <c r="AF308" i="22"/>
  <c r="O174" i="18"/>
  <c r="E176" i="22"/>
  <c r="AN176" i="22" s="1"/>
  <c r="S179" i="10" s="1"/>
  <c r="O218" i="18"/>
  <c r="E221" i="22"/>
  <c r="AN221" i="22" s="1"/>
  <c r="S223" i="10" s="1"/>
  <c r="O86" i="18"/>
  <c r="E88" i="22"/>
  <c r="AN88" i="22" s="1"/>
  <c r="S91" i="10" s="1"/>
  <c r="O251" i="18"/>
  <c r="E254" i="22"/>
  <c r="AN254" i="22" s="1"/>
  <c r="S256" i="10" s="1"/>
  <c r="O197" i="18"/>
  <c r="E200" i="22"/>
  <c r="AN200" i="22" s="1"/>
  <c r="S202" i="10" s="1"/>
  <c r="O115" i="18"/>
  <c r="E117" i="22"/>
  <c r="AN117" i="22" s="1"/>
  <c r="S120" i="10" s="1"/>
  <c r="O53" i="18"/>
  <c r="E55" i="22"/>
  <c r="AN55" i="22" s="1"/>
  <c r="S58" i="10" s="1"/>
  <c r="O106" i="18"/>
  <c r="E108" i="22"/>
  <c r="AN108" i="22" s="1"/>
  <c r="S112" i="10" s="1"/>
  <c r="F195" i="22"/>
  <c r="AO195" i="22" s="1"/>
  <c r="T198" i="10" s="1"/>
  <c r="F198" i="10" s="1"/>
  <c r="P193" i="18"/>
  <c r="AF259" i="22"/>
  <c r="O88" i="18"/>
  <c r="E90" i="22"/>
  <c r="AN90" i="22" s="1"/>
  <c r="S93" i="10" s="1"/>
  <c r="O61" i="18"/>
  <c r="F63" i="22" s="1"/>
  <c r="AO63" i="22" s="1"/>
  <c r="T66" i="10" s="1"/>
  <c r="E63" i="22"/>
  <c r="AN63" i="22" s="1"/>
  <c r="S66" i="10" s="1"/>
  <c r="O33" i="18"/>
  <c r="F35" i="22" s="1"/>
  <c r="AO35" i="22" s="1"/>
  <c r="T38" i="10" s="1"/>
  <c r="E35" i="22"/>
  <c r="AN35" i="22" s="1"/>
  <c r="S38" i="10" s="1"/>
  <c r="E96" i="22"/>
  <c r="AN96" i="22" s="1"/>
  <c r="S99" i="10" s="1"/>
  <c r="O94" i="18"/>
  <c r="F96" i="22" s="1"/>
  <c r="AO96" i="22" s="1"/>
  <c r="T99" i="10" s="1"/>
  <c r="O237" i="18"/>
  <c r="F240" i="22" s="1"/>
  <c r="AO240" i="22" s="1"/>
  <c r="T242" i="10" s="1"/>
  <c r="E240" i="22"/>
  <c r="AN240" i="22" s="1"/>
  <c r="S242" i="10" s="1"/>
  <c r="O157" i="18"/>
  <c r="E159" i="22"/>
  <c r="AN159" i="22" s="1"/>
  <c r="S162" i="10" s="1"/>
  <c r="O220" i="18"/>
  <c r="F223" i="22" s="1"/>
  <c r="AO223" i="22" s="1"/>
  <c r="T225" i="10" s="1"/>
  <c r="E223" i="22"/>
  <c r="AN223" i="22" s="1"/>
  <c r="S225" i="10" s="1"/>
  <c r="O249" i="18"/>
  <c r="F252" i="22" s="1"/>
  <c r="AO252" i="22" s="1"/>
  <c r="T254" i="10" s="1"/>
  <c r="E252" i="22"/>
  <c r="AN252" i="22" s="1"/>
  <c r="S254" i="10" s="1"/>
  <c r="O168" i="18"/>
  <c r="F170" i="22" s="1"/>
  <c r="AO170" i="22" s="1"/>
  <c r="T173" i="10" s="1"/>
  <c r="E170" i="22"/>
  <c r="AN170" i="22" s="1"/>
  <c r="S173" i="10" s="1"/>
  <c r="O212" i="18"/>
  <c r="F215" i="22" s="1"/>
  <c r="AO215" i="22" s="1"/>
  <c r="T217" i="10" s="1"/>
  <c r="E215" i="22"/>
  <c r="AN215" i="22" s="1"/>
  <c r="S217" i="10" s="1"/>
  <c r="O198" i="18"/>
  <c r="E201" i="22"/>
  <c r="AN201" i="22" s="1"/>
  <c r="S203" i="10" s="1"/>
  <c r="P72" i="18"/>
  <c r="G74" i="22" s="1"/>
  <c r="AP74" i="22" s="1"/>
  <c r="U77" i="10" s="1"/>
  <c r="O65" i="18"/>
  <c r="E67" i="22"/>
  <c r="AN67" i="22" s="1"/>
  <c r="S70" i="10" s="1"/>
  <c r="O147" i="18"/>
  <c r="E150" i="22"/>
  <c r="AN150" i="22" s="1"/>
  <c r="S152" i="10" s="1"/>
  <c r="O90" i="18"/>
  <c r="E92" i="22"/>
  <c r="AN92" i="22" s="1"/>
  <c r="S95" i="10" s="1"/>
  <c r="P93" i="18"/>
  <c r="G95" i="22" s="1"/>
  <c r="AP95" i="22" s="1"/>
  <c r="U98" i="10" s="1"/>
  <c r="O282" i="18"/>
  <c r="E285" i="22"/>
  <c r="AN285" i="22" s="1"/>
  <c r="S287" i="10" s="1"/>
  <c r="O24" i="18"/>
  <c r="E26" i="22"/>
  <c r="AN26" i="22" s="1"/>
  <c r="S29" i="10" s="1"/>
  <c r="O211" i="18"/>
  <c r="E214" i="22"/>
  <c r="AN214" i="22" s="1"/>
  <c r="S216" i="10" s="1"/>
  <c r="O160" i="18"/>
  <c r="E162" i="22"/>
  <c r="AN162" i="22" s="1"/>
  <c r="S165" i="10" s="1"/>
  <c r="O303" i="18"/>
  <c r="E306" i="22"/>
  <c r="AN306" i="22" s="1"/>
  <c r="S308" i="10" s="1"/>
  <c r="O182" i="18"/>
  <c r="F184" i="22" s="1"/>
  <c r="AO184" i="22" s="1"/>
  <c r="T187" i="10" s="1"/>
  <c r="E184" i="22"/>
  <c r="AN184" i="22" s="1"/>
  <c r="S187" i="10" s="1"/>
  <c r="O159" i="18"/>
  <c r="E161" i="22"/>
  <c r="AN161" i="22" s="1"/>
  <c r="S164" i="10" s="1"/>
  <c r="O244" i="18"/>
  <c r="E247" i="22"/>
  <c r="AN247" i="22" s="1"/>
  <c r="S249" i="10" s="1"/>
  <c r="O83" i="18"/>
  <c r="E85" i="22"/>
  <c r="AN85" i="22" s="1"/>
  <c r="S88" i="10" s="1"/>
  <c r="O176" i="18"/>
  <c r="F178" i="22" s="1"/>
  <c r="AO178" i="22" s="1"/>
  <c r="T181" i="10" s="1"/>
  <c r="E178" i="22"/>
  <c r="AN178" i="22" s="1"/>
  <c r="S181" i="10" s="1"/>
  <c r="O264" i="18"/>
  <c r="E267" i="22"/>
  <c r="AN267" i="22" s="1"/>
  <c r="S269" i="10" s="1"/>
  <c r="O294" i="18"/>
  <c r="F297" i="22" s="1"/>
  <c r="AO297" i="22" s="1"/>
  <c r="T299" i="10" s="1"/>
  <c r="E297" i="22"/>
  <c r="AN297" i="22" s="1"/>
  <c r="S299" i="10" s="1"/>
  <c r="O58" i="18"/>
  <c r="E60" i="22"/>
  <c r="AN60" i="22" s="1"/>
  <c r="S63" i="10" s="1"/>
  <c r="O64" i="18"/>
  <c r="F66" i="22" s="1"/>
  <c r="AO66" i="22" s="1"/>
  <c r="T69" i="10" s="1"/>
  <c r="E66" i="22"/>
  <c r="AN66" i="22" s="1"/>
  <c r="S69" i="10" s="1"/>
  <c r="O84" i="18"/>
  <c r="E86" i="22"/>
  <c r="AN86" i="22" s="1"/>
  <c r="S89" i="10" s="1"/>
  <c r="O141" i="18"/>
  <c r="E144" i="22"/>
  <c r="AN144" i="22" s="1"/>
  <c r="S146" i="10" s="1"/>
  <c r="O165" i="18"/>
  <c r="E167" i="22"/>
  <c r="AN167" i="22" s="1"/>
  <c r="S170" i="10" s="1"/>
  <c r="O216" i="18"/>
  <c r="F219" i="22" s="1"/>
  <c r="AO219" i="22" s="1"/>
  <c r="T221" i="10" s="1"/>
  <c r="E219" i="22"/>
  <c r="AN219" i="22" s="1"/>
  <c r="S221" i="10" s="1"/>
  <c r="O300" i="18"/>
  <c r="E303" i="22"/>
  <c r="AN303" i="22" s="1"/>
  <c r="S305" i="10" s="1"/>
  <c r="O71" i="18"/>
  <c r="E73" i="22"/>
  <c r="AN73" i="22" s="1"/>
  <c r="S76" i="10" s="1"/>
  <c r="O56" i="18"/>
  <c r="E58" i="22"/>
  <c r="AN58" i="22" s="1"/>
  <c r="S61" i="10" s="1"/>
  <c r="O76" i="18"/>
  <c r="E78" i="22"/>
  <c r="AN78" i="22" s="1"/>
  <c r="S81" i="10" s="1"/>
  <c r="O46" i="18"/>
  <c r="E48" i="22"/>
  <c r="AN48" i="22" s="1"/>
  <c r="S51" i="10" s="1"/>
  <c r="O152" i="18"/>
  <c r="E155" i="22"/>
  <c r="AN155" i="22" s="1"/>
  <c r="S157" i="10" s="1"/>
  <c r="O134" i="18"/>
  <c r="E136" i="22"/>
  <c r="AN136" i="22" s="1"/>
  <c r="S139" i="10" s="1"/>
  <c r="O26" i="18"/>
  <c r="E28" i="22"/>
  <c r="AN28" i="22" s="1"/>
  <c r="S31" i="10" s="1"/>
  <c r="O20" i="18"/>
  <c r="E22" i="22"/>
  <c r="AN22" i="22" s="1"/>
  <c r="S25" i="10" s="1"/>
  <c r="O229" i="18"/>
  <c r="E232" i="22"/>
  <c r="AN232" i="22" s="1"/>
  <c r="S234" i="10" s="1"/>
  <c r="O34" i="18"/>
  <c r="E36" i="22"/>
  <c r="AN36" i="22" s="1"/>
  <c r="S39" i="10" s="1"/>
  <c r="O69" i="18"/>
  <c r="F71" i="22" s="1"/>
  <c r="AO71" i="22" s="1"/>
  <c r="T74" i="10" s="1"/>
  <c r="E71" i="22"/>
  <c r="AN71" i="22" s="1"/>
  <c r="S74" i="10" s="1"/>
  <c r="O45" i="18"/>
  <c r="E47" i="22"/>
  <c r="AN47" i="22" s="1"/>
  <c r="S50" i="10" s="1"/>
  <c r="O210" i="18"/>
  <c r="E213" i="22"/>
  <c r="AN213" i="22" s="1"/>
  <c r="S215" i="10" s="1"/>
  <c r="O42" i="18"/>
  <c r="E44" i="22"/>
  <c r="AN44" i="22" s="1"/>
  <c r="S47" i="10" s="1"/>
  <c r="O51" i="18"/>
  <c r="E53" i="22"/>
  <c r="AN53" i="22" s="1"/>
  <c r="S56" i="10" s="1"/>
  <c r="O12" i="18"/>
  <c r="E15" i="22"/>
  <c r="AN15" i="22" s="1"/>
  <c r="S17" i="10" s="1"/>
  <c r="O105" i="18"/>
  <c r="E107" i="22"/>
  <c r="AN107" i="22" s="1"/>
  <c r="S110" i="10" s="1"/>
  <c r="O222" i="18"/>
  <c r="E225" i="22"/>
  <c r="AN225" i="22" s="1"/>
  <c r="S227" i="10" s="1"/>
  <c r="O62" i="18"/>
  <c r="E64" i="22"/>
  <c r="AN64" i="22" s="1"/>
  <c r="S67" i="10" s="1"/>
  <c r="O96" i="18"/>
  <c r="E98" i="22"/>
  <c r="AN98" i="22" s="1"/>
  <c r="S101" i="10" s="1"/>
  <c r="O207" i="18"/>
  <c r="E209" i="22"/>
  <c r="AN209" i="22" s="1"/>
  <c r="S212" i="10" s="1"/>
  <c r="O124" i="18"/>
  <c r="E126" i="22"/>
  <c r="AN126" i="22" s="1"/>
  <c r="S129" i="10" s="1"/>
  <c r="O40" i="18"/>
  <c r="E42" i="22"/>
  <c r="AN42" i="22" s="1"/>
  <c r="S45" i="10" s="1"/>
  <c r="O149" i="18"/>
  <c r="E152" i="22"/>
  <c r="AN152" i="22" s="1"/>
  <c r="S154" i="10" s="1"/>
  <c r="O166" i="18"/>
  <c r="F168" i="22" s="1"/>
  <c r="AO168" i="22" s="1"/>
  <c r="T171" i="10" s="1"/>
  <c r="E168" i="22"/>
  <c r="AN168" i="22" s="1"/>
  <c r="S171" i="10" s="1"/>
  <c r="O148" i="18"/>
  <c r="E151" i="22"/>
  <c r="AN151" i="22" s="1"/>
  <c r="S153" i="10" s="1"/>
  <c r="O145" i="18"/>
  <c r="F148" i="22" s="1"/>
  <c r="AO148" i="22" s="1"/>
  <c r="T150" i="10" s="1"/>
  <c r="E148" i="22"/>
  <c r="AN148" i="22" s="1"/>
  <c r="S150" i="10" s="1"/>
  <c r="O205" i="18"/>
  <c r="E211" i="22"/>
  <c r="AN211" i="22" s="1"/>
  <c r="S210" i="10" s="1"/>
  <c r="O239" i="18"/>
  <c r="E242" i="22"/>
  <c r="AN242" i="22" s="1"/>
  <c r="S244" i="10" s="1"/>
  <c r="O227" i="18"/>
  <c r="E230" i="22"/>
  <c r="AN230" i="22" s="1"/>
  <c r="S232" i="10" s="1"/>
  <c r="O278" i="18"/>
  <c r="E281" i="22"/>
  <c r="AN281" i="22" s="1"/>
  <c r="S283" i="10" s="1"/>
  <c r="O257" i="18"/>
  <c r="E260" i="22"/>
  <c r="AN260" i="22" s="1"/>
  <c r="S262" i="10" s="1"/>
  <c r="O280" i="18"/>
  <c r="F283" i="22" s="1"/>
  <c r="AO283" i="22" s="1"/>
  <c r="T285" i="10" s="1"/>
  <c r="E283" i="22"/>
  <c r="AN283" i="22" s="1"/>
  <c r="S285" i="10" s="1"/>
  <c r="O298" i="18"/>
  <c r="F301" i="22" s="1"/>
  <c r="AO301" i="22" s="1"/>
  <c r="T303" i="10" s="1"/>
  <c r="E301" i="22"/>
  <c r="AN301" i="22" s="1"/>
  <c r="S303" i="10" s="1"/>
  <c r="P13" i="18"/>
  <c r="G139" i="22" s="1"/>
  <c r="AP139" i="22" s="1"/>
  <c r="U18" i="10" s="1"/>
  <c r="O158" i="18"/>
  <c r="E160" i="22"/>
  <c r="AN160" i="22" s="1"/>
  <c r="S163" i="10" s="1"/>
  <c r="F13" i="22"/>
  <c r="AO13" i="22" s="1"/>
  <c r="P10" i="18"/>
  <c r="O253" i="18"/>
  <c r="E256" i="22"/>
  <c r="AN256" i="22" s="1"/>
  <c r="S258" i="10" s="1"/>
  <c r="O177" i="18"/>
  <c r="E179" i="22"/>
  <c r="AN179" i="22" s="1"/>
  <c r="S182" i="10" s="1"/>
  <c r="O185" i="18"/>
  <c r="F187" i="22" s="1"/>
  <c r="AO187" i="22" s="1"/>
  <c r="T190" i="10" s="1"/>
  <c r="E187" i="22"/>
  <c r="AN187" i="22" s="1"/>
  <c r="S190" i="10" s="1"/>
  <c r="O107" i="18"/>
  <c r="E109" i="22"/>
  <c r="AN109" i="22" s="1"/>
  <c r="S111" i="10" s="1"/>
  <c r="O231" i="18"/>
  <c r="E234" i="22"/>
  <c r="AN234" i="22" s="1"/>
  <c r="S236" i="10" s="1"/>
  <c r="O49" i="18"/>
  <c r="E51" i="22"/>
  <c r="AN51" i="22" s="1"/>
  <c r="S54" i="10" s="1"/>
  <c r="O47" i="18"/>
  <c r="E49" i="22"/>
  <c r="AN49" i="22" s="1"/>
  <c r="S52" i="10" s="1"/>
  <c r="O173" i="18"/>
  <c r="E175" i="22"/>
  <c r="AN175" i="22" s="1"/>
  <c r="S178" i="10" s="1"/>
  <c r="O140" i="18"/>
  <c r="E143" i="22"/>
  <c r="AN143" i="22" s="1"/>
  <c r="S145" i="10" s="1"/>
  <c r="O209" i="18"/>
  <c r="E212" i="22"/>
  <c r="AN212" i="22" s="1"/>
  <c r="S214" i="10" s="1"/>
  <c r="O265" i="18"/>
  <c r="E268" i="22"/>
  <c r="AN268" i="22" s="1"/>
  <c r="S270" i="10" s="1"/>
  <c r="O277" i="18"/>
  <c r="E280" i="22"/>
  <c r="AN280" i="22" s="1"/>
  <c r="S282" i="10" s="1"/>
  <c r="O70" i="18"/>
  <c r="E72" i="22"/>
  <c r="AN72" i="22" s="1"/>
  <c r="S75" i="10" s="1"/>
  <c r="O110" i="18"/>
  <c r="E112" i="22"/>
  <c r="AN112" i="22" s="1"/>
  <c r="S115" i="10" s="1"/>
  <c r="O259" i="18"/>
  <c r="E262" i="22"/>
  <c r="AN262" i="22" s="1"/>
  <c r="S264" i="10" s="1"/>
  <c r="O67" i="18"/>
  <c r="E69" i="22"/>
  <c r="AN69" i="22" s="1"/>
  <c r="S72" i="10" s="1"/>
  <c r="O287" i="18"/>
  <c r="E290" i="22"/>
  <c r="AN290" i="22" s="1"/>
  <c r="S292" i="10" s="1"/>
  <c r="L320" i="22"/>
  <c r="K320" i="22"/>
  <c r="D248" i="10"/>
  <c r="D253" i="10"/>
  <c r="C197" i="10"/>
  <c r="D197" i="10"/>
  <c r="D226" i="10"/>
  <c r="D241" i="10"/>
  <c r="E241" i="10"/>
  <c r="G241" i="10"/>
  <c r="D227" i="10"/>
  <c r="E318" i="10"/>
  <c r="G318" i="10"/>
  <c r="D15" i="10"/>
  <c r="E15" i="10"/>
  <c r="D210" i="10"/>
  <c r="F241" i="10"/>
  <c r="D36" i="10"/>
  <c r="D313" i="10"/>
  <c r="D224" i="10"/>
  <c r="D12" i="10"/>
  <c r="D318" i="10"/>
  <c r="T11" i="10"/>
  <c r="Q7" i="18"/>
  <c r="F12" i="10"/>
  <c r="Q30" i="18"/>
  <c r="Q121" i="18"/>
  <c r="H313" i="18"/>
  <c r="P15" i="18" l="1"/>
  <c r="G17" i="22" s="1"/>
  <c r="AP17" i="22" s="1"/>
  <c r="U20" i="10" s="1"/>
  <c r="P139" i="18"/>
  <c r="G142" i="22" s="1"/>
  <c r="AP142" i="22" s="1"/>
  <c r="U144" i="10" s="1"/>
  <c r="P305" i="18"/>
  <c r="G312" i="22" s="1"/>
  <c r="AP312" i="22" s="1"/>
  <c r="U310" i="10" s="1"/>
  <c r="P194" i="18"/>
  <c r="G196" i="22" s="1"/>
  <c r="S113" i="10"/>
  <c r="E113" i="10" s="1"/>
  <c r="S267" i="10"/>
  <c r="E267" i="10" s="1"/>
  <c r="P247" i="18"/>
  <c r="G250" i="22" s="1"/>
  <c r="AE250" i="22" s="1"/>
  <c r="T267" i="10"/>
  <c r="F267" i="10" s="1"/>
  <c r="P291" i="18"/>
  <c r="G294" i="22" s="1"/>
  <c r="AP294" i="22" s="1"/>
  <c r="U296" i="10" s="1"/>
  <c r="T15" i="10"/>
  <c r="F15" i="10" s="1"/>
  <c r="W106" i="10"/>
  <c r="X106" i="10" s="1"/>
  <c r="P109" i="18"/>
  <c r="G111" i="22" s="1"/>
  <c r="AP111" i="22" s="1"/>
  <c r="U114" i="10" s="1"/>
  <c r="P48" i="18"/>
  <c r="G50" i="22" s="1"/>
  <c r="AP50" i="22" s="1"/>
  <c r="U53" i="10" s="1"/>
  <c r="P224" i="18"/>
  <c r="G227" i="22" s="1"/>
  <c r="AP227" i="22" s="1"/>
  <c r="U229" i="10" s="1"/>
  <c r="P99" i="18"/>
  <c r="G101" i="22" s="1"/>
  <c r="AP101" i="22" s="1"/>
  <c r="U104" i="10" s="1"/>
  <c r="P164" i="18"/>
  <c r="G166" i="22" s="1"/>
  <c r="AP166" i="22" s="1"/>
  <c r="U169" i="10" s="1"/>
  <c r="AF189" i="22"/>
  <c r="AP189" i="22"/>
  <c r="U192" i="10" s="1"/>
  <c r="AE189" i="22"/>
  <c r="AF313" i="22"/>
  <c r="AP313" i="22"/>
  <c r="U315" i="10" s="1"/>
  <c r="AE307" i="22"/>
  <c r="AP307" i="22"/>
  <c r="U309" i="10" s="1"/>
  <c r="AE259" i="22"/>
  <c r="AP259" i="22"/>
  <c r="U261" i="10" s="1"/>
  <c r="AF196" i="22"/>
  <c r="AP196" i="22"/>
  <c r="U199" i="10" s="1"/>
  <c r="AF74" i="22"/>
  <c r="AN74" i="22"/>
  <c r="S77" i="10" s="1"/>
  <c r="Q187" i="18"/>
  <c r="P131" i="18"/>
  <c r="G133" i="22" s="1"/>
  <c r="AP133" i="22" s="1"/>
  <c r="U136" i="10" s="1"/>
  <c r="AE74" i="22"/>
  <c r="AE32" i="22"/>
  <c r="AE313" i="22"/>
  <c r="AE142" i="22"/>
  <c r="AE296" i="22"/>
  <c r="P276" i="18"/>
  <c r="G279" i="22" s="1"/>
  <c r="AP279" i="22" s="1"/>
  <c r="U281" i="10" s="1"/>
  <c r="P271" i="18"/>
  <c r="G274" i="22" s="1"/>
  <c r="AP274" i="22" s="1"/>
  <c r="AF312" i="22"/>
  <c r="P307" i="18"/>
  <c r="G309" i="22" s="1"/>
  <c r="AP309" i="22" s="1"/>
  <c r="U312" i="10" s="1"/>
  <c r="P240" i="18"/>
  <c r="G243" i="22" s="1"/>
  <c r="AP243" i="22" s="1"/>
  <c r="U245" i="10" s="1"/>
  <c r="P89" i="18"/>
  <c r="G91" i="22" s="1"/>
  <c r="P81" i="18"/>
  <c r="G83" i="22" s="1"/>
  <c r="AE83" i="22" s="1"/>
  <c r="P186" i="18"/>
  <c r="G188" i="22" s="1"/>
  <c r="P195" i="18"/>
  <c r="G197" i="22" s="1"/>
  <c r="P143" i="18"/>
  <c r="G146" i="22" s="1"/>
  <c r="P204" i="18"/>
  <c r="G207" i="22" s="1"/>
  <c r="P156" i="18"/>
  <c r="G158" i="22" s="1"/>
  <c r="AP158" i="22" s="1"/>
  <c r="U161" i="10" s="1"/>
  <c r="P272" i="18"/>
  <c r="G275" i="22" s="1"/>
  <c r="P129" i="18"/>
  <c r="G131" i="22" s="1"/>
  <c r="AP131" i="22" s="1"/>
  <c r="U134" i="10" s="1"/>
  <c r="AE196" i="22"/>
  <c r="P135" i="18"/>
  <c r="G137" i="22" s="1"/>
  <c r="AE137" i="22" s="1"/>
  <c r="P125" i="18"/>
  <c r="G127" i="22" s="1"/>
  <c r="AP127" i="22" s="1"/>
  <c r="U130" i="10" s="1"/>
  <c r="P258" i="18"/>
  <c r="G261" i="22" s="1"/>
  <c r="P33" i="18"/>
  <c r="G35" i="22" s="1"/>
  <c r="AP35" i="22" s="1"/>
  <c r="U38" i="10" s="1"/>
  <c r="P223" i="18"/>
  <c r="G226" i="22" s="1"/>
  <c r="AF32" i="22"/>
  <c r="P25" i="18"/>
  <c r="G27" i="22" s="1"/>
  <c r="Q236" i="18"/>
  <c r="AE312" i="22"/>
  <c r="P175" i="18"/>
  <c r="G177" i="22" s="1"/>
  <c r="P190" i="18"/>
  <c r="G191" i="22" s="1"/>
  <c r="AP191" i="22" s="1"/>
  <c r="U194" i="10" s="1"/>
  <c r="P274" i="18"/>
  <c r="G277" i="22" s="1"/>
  <c r="P234" i="18"/>
  <c r="G237" i="22" s="1"/>
  <c r="P116" i="18"/>
  <c r="G118" i="22" s="1"/>
  <c r="AP118" i="22" s="1"/>
  <c r="U121" i="10" s="1"/>
  <c r="P41" i="18"/>
  <c r="G43" i="22" s="1"/>
  <c r="P283" i="18"/>
  <c r="G286" i="22" s="1"/>
  <c r="P92" i="18"/>
  <c r="G94" i="22" s="1"/>
  <c r="AF95" i="22"/>
  <c r="P78" i="18"/>
  <c r="G80" i="22" s="1"/>
  <c r="AE139" i="22"/>
  <c r="P61" i="18"/>
  <c r="G63" i="22" s="1"/>
  <c r="AP63" i="22" s="1"/>
  <c r="U66" i="10" s="1"/>
  <c r="P212" i="18"/>
  <c r="G215" i="22" s="1"/>
  <c r="AP215" i="22" s="1"/>
  <c r="U217" i="10" s="1"/>
  <c r="AF139" i="22"/>
  <c r="AE17" i="22"/>
  <c r="P75" i="18"/>
  <c r="G77" i="22" s="1"/>
  <c r="P127" i="18"/>
  <c r="G129" i="22" s="1"/>
  <c r="P262" i="18"/>
  <c r="G265" i="22" s="1"/>
  <c r="P136" i="18"/>
  <c r="G138" i="22" s="1"/>
  <c r="AE138" i="22" s="1"/>
  <c r="P163" i="18"/>
  <c r="G164" i="22" s="1"/>
  <c r="P214" i="18"/>
  <c r="G217" i="22" s="1"/>
  <c r="AF311" i="22"/>
  <c r="P176" i="18"/>
  <c r="G178" i="22" s="1"/>
  <c r="Q309" i="18"/>
  <c r="P28" i="18"/>
  <c r="G30" i="22" s="1"/>
  <c r="P130" i="18"/>
  <c r="G132" i="22" s="1"/>
  <c r="P289" i="18"/>
  <c r="G292" i="22" s="1"/>
  <c r="P153" i="18"/>
  <c r="G156" i="22" s="1"/>
  <c r="AP156" i="22" s="1"/>
  <c r="U158" i="10" s="1"/>
  <c r="P252" i="18"/>
  <c r="G255" i="22" s="1"/>
  <c r="F280" i="22"/>
  <c r="AO280" i="22" s="1"/>
  <c r="T282" i="10" s="1"/>
  <c r="P277" i="18"/>
  <c r="G280" i="22" s="1"/>
  <c r="AP280" i="22" s="1"/>
  <c r="U282" i="10" s="1"/>
  <c r="F238" i="22"/>
  <c r="AO238" i="22" s="1"/>
  <c r="T240" i="10" s="1"/>
  <c r="P235" i="18"/>
  <c r="G238" i="22" s="1"/>
  <c r="AP238" i="22" s="1"/>
  <c r="U240" i="10" s="1"/>
  <c r="P188" i="18"/>
  <c r="G190" i="22" s="1"/>
  <c r="F92" i="22"/>
  <c r="AO92" i="22" s="1"/>
  <c r="T95" i="10" s="1"/>
  <c r="P90" i="18"/>
  <c r="G92" i="22" s="1"/>
  <c r="F87" i="22"/>
  <c r="P85" i="18"/>
  <c r="G87" i="22" s="1"/>
  <c r="AP87" i="22" s="1"/>
  <c r="U90" i="10" s="1"/>
  <c r="E320" i="22"/>
  <c r="F12" i="22"/>
  <c r="AO12" i="22" s="1"/>
  <c r="P9" i="18"/>
  <c r="G12" i="22" s="1"/>
  <c r="AP12" i="22" s="1"/>
  <c r="U14" i="10" s="1"/>
  <c r="AE111" i="22"/>
  <c r="AF111" i="22"/>
  <c r="P181" i="18"/>
  <c r="G183" i="22" s="1"/>
  <c r="P161" i="18"/>
  <c r="G163" i="22" s="1"/>
  <c r="AP163" i="22" s="1"/>
  <c r="U166" i="10" s="1"/>
  <c r="F246" i="22"/>
  <c r="AO246" i="22" s="1"/>
  <c r="T248" i="10" s="1"/>
  <c r="F248" i="10" s="1"/>
  <c r="P243" i="18"/>
  <c r="G246" i="22" s="1"/>
  <c r="AP246" i="22" s="1"/>
  <c r="U248" i="10" s="1"/>
  <c r="P290" i="18"/>
  <c r="G293" i="22" s="1"/>
  <c r="AF227" i="22"/>
  <c r="P111" i="18"/>
  <c r="G113" i="22" s="1"/>
  <c r="F36" i="22"/>
  <c r="AO36" i="22" s="1"/>
  <c r="P34" i="18"/>
  <c r="G36" i="22" s="1"/>
  <c r="AP36" i="22" s="1"/>
  <c r="U39" i="10" s="1"/>
  <c r="F49" i="22"/>
  <c r="AO49" i="22" s="1"/>
  <c r="T52" i="10" s="1"/>
  <c r="P47" i="18"/>
  <c r="G49" i="22" s="1"/>
  <c r="AP49" i="22" s="1"/>
  <c r="U52" i="10" s="1"/>
  <c r="F160" i="22"/>
  <c r="P158" i="18"/>
  <c r="G160" i="22" s="1"/>
  <c r="AP160" i="22" s="1"/>
  <c r="U163" i="10" s="1"/>
  <c r="F213" i="22"/>
  <c r="AO213" i="22" s="1"/>
  <c r="T215" i="10" s="1"/>
  <c r="P210" i="18"/>
  <c r="G213" i="22" s="1"/>
  <c r="AP213" i="22" s="1"/>
  <c r="U215" i="10" s="1"/>
  <c r="F232" i="22"/>
  <c r="AO232" i="22" s="1"/>
  <c r="T234" i="10" s="1"/>
  <c r="P229" i="18"/>
  <c r="G232" i="22" s="1"/>
  <c r="AP232" i="22" s="1"/>
  <c r="U234" i="10" s="1"/>
  <c r="P43" i="18"/>
  <c r="G45" i="22" s="1"/>
  <c r="AP45" i="22" s="1"/>
  <c r="U48" i="10" s="1"/>
  <c r="F306" i="22"/>
  <c r="AO306" i="22" s="1"/>
  <c r="T308" i="10" s="1"/>
  <c r="P303" i="18"/>
  <c r="G306" i="22" s="1"/>
  <c r="AP306" i="22" s="1"/>
  <c r="U308" i="10" s="1"/>
  <c r="F41" i="22"/>
  <c r="AO41" i="22" s="1"/>
  <c r="T44" i="10" s="1"/>
  <c r="P39" i="18"/>
  <c r="G41" i="22" s="1"/>
  <c r="AP41" i="22" s="1"/>
  <c r="U44" i="10" s="1"/>
  <c r="F147" i="22"/>
  <c r="AO147" i="22" s="1"/>
  <c r="T149" i="10" s="1"/>
  <c r="P144" i="18"/>
  <c r="G147" i="22" s="1"/>
  <c r="AP147" i="22" s="1"/>
  <c r="U149" i="10" s="1"/>
  <c r="F99" i="22"/>
  <c r="AO99" i="22" s="1"/>
  <c r="P97" i="18"/>
  <c r="G99" i="22" s="1"/>
  <c r="AP99" i="22" s="1"/>
  <c r="U102" i="10" s="1"/>
  <c r="F204" i="22"/>
  <c r="AO204" i="22" s="1"/>
  <c r="P201" i="18"/>
  <c r="G204" i="22" s="1"/>
  <c r="AP204" i="22" s="1"/>
  <c r="U206" i="10" s="1"/>
  <c r="F253" i="22"/>
  <c r="AO253" i="22" s="1"/>
  <c r="T255" i="10" s="1"/>
  <c r="P250" i="18"/>
  <c r="G253" i="22" s="1"/>
  <c r="F222" i="22"/>
  <c r="AO222" i="22" s="1"/>
  <c r="T224" i="10" s="1"/>
  <c r="P219" i="18"/>
  <c r="F16" i="22"/>
  <c r="AO16" i="22" s="1"/>
  <c r="T19" i="10" s="1"/>
  <c r="P14" i="18"/>
  <c r="G16" i="22" s="1"/>
  <c r="AP16" i="22" s="1"/>
  <c r="U19" i="10" s="1"/>
  <c r="F291" i="22"/>
  <c r="AO291" i="22" s="1"/>
  <c r="T293" i="10" s="1"/>
  <c r="P288" i="18"/>
  <c r="G291" i="22" s="1"/>
  <c r="AP291" i="22" s="1"/>
  <c r="U293" i="10" s="1"/>
  <c r="P80" i="18"/>
  <c r="G82" i="22" s="1"/>
  <c r="AE82" i="22" s="1"/>
  <c r="P117" i="18"/>
  <c r="G119" i="22" s="1"/>
  <c r="AP119" i="22" s="1"/>
  <c r="U122" i="10" s="1"/>
  <c r="P203" i="18"/>
  <c r="G206" i="22" s="1"/>
  <c r="F76" i="22"/>
  <c r="AO76" i="22" s="1"/>
  <c r="P74" i="18"/>
  <c r="G76" i="22" s="1"/>
  <c r="F51" i="22"/>
  <c r="P49" i="18"/>
  <c r="G51" i="22" s="1"/>
  <c r="AP51" i="22" s="1"/>
  <c r="U54" i="10" s="1"/>
  <c r="F47" i="22"/>
  <c r="AO47" i="22" s="1"/>
  <c r="T50" i="10" s="1"/>
  <c r="P45" i="18"/>
  <c r="G47" i="22" s="1"/>
  <c r="AP47" i="22" s="1"/>
  <c r="U50" i="10" s="1"/>
  <c r="F22" i="22"/>
  <c r="AO22" i="22" s="1"/>
  <c r="T25" i="10" s="1"/>
  <c r="P20" i="18"/>
  <c r="G22" i="22" s="1"/>
  <c r="F167" i="22"/>
  <c r="AO167" i="22" s="1"/>
  <c r="T170" i="10" s="1"/>
  <c r="P165" i="18"/>
  <c r="G167" i="22" s="1"/>
  <c r="AP167" i="22" s="1"/>
  <c r="U170" i="10" s="1"/>
  <c r="F162" i="22"/>
  <c r="P160" i="18"/>
  <c r="G162" i="22" s="1"/>
  <c r="AP162" i="22" s="1"/>
  <c r="U165" i="10" s="1"/>
  <c r="Q193" i="18"/>
  <c r="G195" i="22"/>
  <c r="F61" i="22"/>
  <c r="AO61" i="22" s="1"/>
  <c r="P59" i="18"/>
  <c r="G61" i="22" s="1"/>
  <c r="AP61" i="22" s="1"/>
  <c r="U64" i="10" s="1"/>
  <c r="F110" i="22"/>
  <c r="AO110" i="22" s="1"/>
  <c r="P108" i="18"/>
  <c r="G110" i="22" s="1"/>
  <c r="AP110" i="22" s="1"/>
  <c r="F31" i="22"/>
  <c r="AO31" i="22" s="1"/>
  <c r="T34" i="10" s="1"/>
  <c r="P29" i="18"/>
  <c r="G31" i="22" s="1"/>
  <c r="AP31" i="22" s="1"/>
  <c r="U34" i="10" s="1"/>
  <c r="F199" i="22"/>
  <c r="P196" i="18"/>
  <c r="G199" i="22" s="1"/>
  <c r="AE197" i="22"/>
  <c r="P73" i="18"/>
  <c r="G75" i="22" s="1"/>
  <c r="P206" i="18"/>
  <c r="AE294" i="22"/>
  <c r="P298" i="18"/>
  <c r="G301" i="22" s="1"/>
  <c r="F39" i="22"/>
  <c r="AO39" i="22" s="1"/>
  <c r="T42" i="10" s="1"/>
  <c r="P37" i="18"/>
  <c r="G39" i="22" s="1"/>
  <c r="F81" i="22"/>
  <c r="AO81" i="22" s="1"/>
  <c r="T84" i="10" s="1"/>
  <c r="P79" i="18"/>
  <c r="G81" i="22" s="1"/>
  <c r="AP81" i="22" s="1"/>
  <c r="U84" i="10" s="1"/>
  <c r="F150" i="22"/>
  <c r="AO150" i="22" s="1"/>
  <c r="P147" i="18"/>
  <c r="G150" i="22" s="1"/>
  <c r="F88" i="22"/>
  <c r="AO88" i="22" s="1"/>
  <c r="T91" i="10" s="1"/>
  <c r="P86" i="18"/>
  <c r="G88" i="22" s="1"/>
  <c r="AP88" i="22" s="1"/>
  <c r="U91" i="10" s="1"/>
  <c r="F298" i="22"/>
  <c r="AO298" i="22" s="1"/>
  <c r="P295" i="18"/>
  <c r="G298" i="22" s="1"/>
  <c r="AP298" i="22" s="1"/>
  <c r="U300" i="10" s="1"/>
  <c r="F67" i="22"/>
  <c r="AO67" i="22" s="1"/>
  <c r="T70" i="10" s="1"/>
  <c r="P65" i="18"/>
  <c r="G67" i="22" s="1"/>
  <c r="AP67" i="22" s="1"/>
  <c r="U70" i="10" s="1"/>
  <c r="F221" i="22"/>
  <c r="AO221" i="22" s="1"/>
  <c r="T223" i="10" s="1"/>
  <c r="P218" i="18"/>
  <c r="G221" i="22" s="1"/>
  <c r="AP221" i="22" s="1"/>
  <c r="U223" i="10" s="1"/>
  <c r="F149" i="22"/>
  <c r="AO149" i="22" s="1"/>
  <c r="T151" i="10" s="1"/>
  <c r="P146" i="18"/>
  <c r="G149" i="22" s="1"/>
  <c r="AP149" i="22" s="1"/>
  <c r="U151" i="10" s="1"/>
  <c r="F100" i="22"/>
  <c r="P98" i="18"/>
  <c r="G100" i="22" s="1"/>
  <c r="AP100" i="22" s="1"/>
  <c r="U103" i="10" s="1"/>
  <c r="F229" i="22"/>
  <c r="AO229" i="22" s="1"/>
  <c r="T231" i="10" s="1"/>
  <c r="P226" i="18"/>
  <c r="G229" i="22" s="1"/>
  <c r="AP229" i="22" s="1"/>
  <c r="U231" i="10" s="1"/>
  <c r="F20" i="22"/>
  <c r="AO20" i="22" s="1"/>
  <c r="T23" i="10" s="1"/>
  <c r="P18" i="18"/>
  <c r="G20" i="22" s="1"/>
  <c r="AP20" i="22" s="1"/>
  <c r="U23" i="10" s="1"/>
  <c r="F93" i="22"/>
  <c r="AO93" i="22" s="1"/>
  <c r="T96" i="10" s="1"/>
  <c r="P91" i="18"/>
  <c r="G93" i="22" s="1"/>
  <c r="AP93" i="22" s="1"/>
  <c r="U96" i="10" s="1"/>
  <c r="F282" i="22"/>
  <c r="AO282" i="22" s="1"/>
  <c r="T284" i="10" s="1"/>
  <c r="P279" i="18"/>
  <c r="G282" i="22" s="1"/>
  <c r="AP282" i="22" s="1"/>
  <c r="U284" i="10" s="1"/>
  <c r="AF17" i="22"/>
  <c r="P166" i="18"/>
  <c r="G168" i="22" s="1"/>
  <c r="Q10" i="18"/>
  <c r="G13" i="22"/>
  <c r="AP13" i="22" s="1"/>
  <c r="F106" i="22"/>
  <c r="AO106" i="22" s="1"/>
  <c r="T109" i="10" s="1"/>
  <c r="P104" i="18"/>
  <c r="G106" i="22" s="1"/>
  <c r="AP106" i="22" s="1"/>
  <c r="U109" i="10" s="1"/>
  <c r="F58" i="22"/>
  <c r="AO58" i="22" s="1"/>
  <c r="T61" i="10" s="1"/>
  <c r="P56" i="18"/>
  <c r="G58" i="22" s="1"/>
  <c r="AP58" i="22" s="1"/>
  <c r="U61" i="10" s="1"/>
  <c r="P294" i="18"/>
  <c r="G297" i="22" s="1"/>
  <c r="F69" i="22"/>
  <c r="P67" i="18"/>
  <c r="G69" i="22" s="1"/>
  <c r="AP69" i="22" s="1"/>
  <c r="U72" i="10" s="1"/>
  <c r="F234" i="22"/>
  <c r="AO234" i="22" s="1"/>
  <c r="P231" i="18"/>
  <c r="G234" i="22" s="1"/>
  <c r="AP234" i="22" s="1"/>
  <c r="U236" i="10" s="1"/>
  <c r="F107" i="22"/>
  <c r="AO107" i="22" s="1"/>
  <c r="T110" i="10" s="1"/>
  <c r="P105" i="18"/>
  <c r="G107" i="22" s="1"/>
  <c r="AP107" i="22" s="1"/>
  <c r="U110" i="10" s="1"/>
  <c r="F144" i="22"/>
  <c r="AO144" i="22" s="1"/>
  <c r="T146" i="10" s="1"/>
  <c r="P141" i="18"/>
  <c r="G144" i="22" s="1"/>
  <c r="AP144" i="22" s="1"/>
  <c r="U146" i="10" s="1"/>
  <c r="F214" i="22"/>
  <c r="AO214" i="22" s="1"/>
  <c r="T216" i="10" s="1"/>
  <c r="P211" i="18"/>
  <c r="G214" i="22" s="1"/>
  <c r="AP214" i="22" s="1"/>
  <c r="U216" i="10" s="1"/>
  <c r="F159" i="22"/>
  <c r="AO159" i="22" s="1"/>
  <c r="T162" i="10" s="1"/>
  <c r="P157" i="18"/>
  <c r="G159" i="22" s="1"/>
  <c r="AP159" i="22" s="1"/>
  <c r="U162" i="10" s="1"/>
  <c r="P82" i="18"/>
  <c r="G84" i="22" s="1"/>
  <c r="AF190" i="22"/>
  <c r="F24" i="22"/>
  <c r="AO24" i="22" s="1"/>
  <c r="P22" i="18"/>
  <c r="G24" i="22" s="1"/>
  <c r="AP24" i="22" s="1"/>
  <c r="U27" i="10" s="1"/>
  <c r="P17" i="18"/>
  <c r="G19" i="22" s="1"/>
  <c r="P308" i="18"/>
  <c r="G310" i="22" s="1"/>
  <c r="F171" i="22"/>
  <c r="AO171" i="22" s="1"/>
  <c r="T174" i="10" s="1"/>
  <c r="P169" i="18"/>
  <c r="G171" i="22" s="1"/>
  <c r="AP171" i="22" s="1"/>
  <c r="U174" i="10" s="1"/>
  <c r="AE95" i="22"/>
  <c r="F244" i="22"/>
  <c r="AO244" i="22" s="1"/>
  <c r="P241" i="18"/>
  <c r="G244" i="22" s="1"/>
  <c r="AP244" i="22" s="1"/>
  <c r="U246" i="10" s="1"/>
  <c r="F124" i="22"/>
  <c r="AO124" i="22" s="1"/>
  <c r="T127" i="10" s="1"/>
  <c r="P122" i="18"/>
  <c r="G124" i="22" s="1"/>
  <c r="F29" i="22"/>
  <c r="P27" i="18"/>
  <c r="G29" i="22" s="1"/>
  <c r="AP29" i="22" s="1"/>
  <c r="U32" i="10" s="1"/>
  <c r="AE77" i="22"/>
  <c r="AE127" i="22"/>
  <c r="AF133" i="22"/>
  <c r="AE133" i="22"/>
  <c r="P66" i="18"/>
  <c r="G68" i="22" s="1"/>
  <c r="AP68" i="22" s="1"/>
  <c r="U71" i="10" s="1"/>
  <c r="P273" i="18"/>
  <c r="G276" i="22" s="1"/>
  <c r="P77" i="18"/>
  <c r="G79" i="22" s="1"/>
  <c r="P183" i="18"/>
  <c r="G185" i="22" s="1"/>
  <c r="AP185" i="22" s="1"/>
  <c r="U188" i="10" s="1"/>
  <c r="P64" i="18"/>
  <c r="G66" i="22" s="1"/>
  <c r="AE66" i="22" s="1"/>
  <c r="AE101" i="22"/>
  <c r="AF101" i="22"/>
  <c r="F210" i="22"/>
  <c r="P208" i="18"/>
  <c r="G210" i="22" s="1"/>
  <c r="AP210" i="22" s="1"/>
  <c r="U213" i="10" s="1"/>
  <c r="F98" i="22"/>
  <c r="P96" i="18"/>
  <c r="G98" i="22" s="1"/>
  <c r="AP98" i="22" s="1"/>
  <c r="U101" i="10" s="1"/>
  <c r="F28" i="22"/>
  <c r="P26" i="18"/>
  <c r="G28" i="22" s="1"/>
  <c r="AP28" i="22" s="1"/>
  <c r="U31" i="10" s="1"/>
  <c r="F85" i="22"/>
  <c r="AO85" i="22" s="1"/>
  <c r="T88" i="10" s="1"/>
  <c r="P83" i="18"/>
  <c r="G85" i="22" s="1"/>
  <c r="AP85" i="22" s="1"/>
  <c r="U88" i="10" s="1"/>
  <c r="F14" i="22"/>
  <c r="AO14" i="22" s="1"/>
  <c r="P11" i="18"/>
  <c r="G14" i="22" s="1"/>
  <c r="AP14" i="22" s="1"/>
  <c r="U16" i="10" s="1"/>
  <c r="F287" i="22"/>
  <c r="AO287" i="22" s="1"/>
  <c r="T289" i="10" s="1"/>
  <c r="P284" i="18"/>
  <c r="G287" i="22" s="1"/>
  <c r="AP287" i="22" s="1"/>
  <c r="U289" i="10" s="1"/>
  <c r="F266" i="22"/>
  <c r="AO266" i="22" s="1"/>
  <c r="T268" i="10" s="1"/>
  <c r="P263" i="18"/>
  <c r="G266" i="22" s="1"/>
  <c r="AP266" i="22" s="1"/>
  <c r="U268" i="10" s="1"/>
  <c r="P63" i="18"/>
  <c r="G65" i="22" s="1"/>
  <c r="F18" i="22"/>
  <c r="AO18" i="22" s="1"/>
  <c r="T21" i="10" s="1"/>
  <c r="P16" i="18"/>
  <c r="G18" i="22" s="1"/>
  <c r="AP18" i="22" s="1"/>
  <c r="U21" i="10" s="1"/>
  <c r="P94" i="18"/>
  <c r="G96" i="22" s="1"/>
  <c r="F175" i="22"/>
  <c r="P173" i="18"/>
  <c r="G175" i="22" s="1"/>
  <c r="AP175" i="22" s="1"/>
  <c r="U178" i="10" s="1"/>
  <c r="F151" i="22"/>
  <c r="AO151" i="22" s="1"/>
  <c r="T153" i="10" s="1"/>
  <c r="P148" i="18"/>
  <c r="G151" i="22" s="1"/>
  <c r="AP151" i="22" s="1"/>
  <c r="U153" i="10" s="1"/>
  <c r="F209" i="22"/>
  <c r="AO209" i="22" s="1"/>
  <c r="P207" i="18"/>
  <c r="G209" i="22" s="1"/>
  <c r="AP209" i="22" s="1"/>
  <c r="U212" i="10" s="1"/>
  <c r="F73" i="22"/>
  <c r="P71" i="18"/>
  <c r="G73" i="22" s="1"/>
  <c r="AP73" i="22" s="1"/>
  <c r="U76" i="10" s="1"/>
  <c r="F262" i="22"/>
  <c r="AO262" i="22" s="1"/>
  <c r="P259" i="18"/>
  <c r="G262" i="22" s="1"/>
  <c r="F143" i="22"/>
  <c r="AO143" i="22" s="1"/>
  <c r="T145" i="10" s="1"/>
  <c r="P140" i="18"/>
  <c r="G143" i="22" s="1"/>
  <c r="AP143" i="22" s="1"/>
  <c r="U145" i="10" s="1"/>
  <c r="F86" i="22"/>
  <c r="AO86" i="22" s="1"/>
  <c r="T89" i="10" s="1"/>
  <c r="P84" i="18"/>
  <c r="G86" i="22" s="1"/>
  <c r="AP86" i="22" s="1"/>
  <c r="U89" i="10" s="1"/>
  <c r="F26" i="22"/>
  <c r="AO26" i="22" s="1"/>
  <c r="T29" i="10" s="1"/>
  <c r="P24" i="18"/>
  <c r="G26" i="22" s="1"/>
  <c r="AP26" i="22" s="1"/>
  <c r="U29" i="10" s="1"/>
  <c r="F108" i="22"/>
  <c r="AO108" i="22" s="1"/>
  <c r="P106" i="18"/>
  <c r="G108" i="22" s="1"/>
  <c r="AP108" i="22" s="1"/>
  <c r="U112" i="10" s="1"/>
  <c r="F176" i="22"/>
  <c r="AO176" i="22" s="1"/>
  <c r="T179" i="10" s="1"/>
  <c r="P174" i="18"/>
  <c r="G176" i="22" s="1"/>
  <c r="AP176" i="22" s="1"/>
  <c r="U179" i="10" s="1"/>
  <c r="F120" i="22"/>
  <c r="AO120" i="22" s="1"/>
  <c r="T123" i="10" s="1"/>
  <c r="P118" i="18"/>
  <c r="G120" i="22" s="1"/>
  <c r="AP120" i="22" s="1"/>
  <c r="U123" i="10" s="1"/>
  <c r="F228" i="22"/>
  <c r="P225" i="18"/>
  <c r="G228" i="22" s="1"/>
  <c r="AP228" i="22" s="1"/>
  <c r="U230" i="10" s="1"/>
  <c r="F54" i="22"/>
  <c r="AO54" i="22" s="1"/>
  <c r="T57" i="10" s="1"/>
  <c r="P52" i="18"/>
  <c r="G54" i="22" s="1"/>
  <c r="F224" i="22"/>
  <c r="AO224" i="22" s="1"/>
  <c r="P221" i="18"/>
  <c r="F115" i="22"/>
  <c r="AO115" i="22" s="1"/>
  <c r="T118" i="10" s="1"/>
  <c r="P113" i="18"/>
  <c r="G115" i="22" s="1"/>
  <c r="AP115" i="22" s="1"/>
  <c r="U118" i="10" s="1"/>
  <c r="F104" i="22"/>
  <c r="AO104" i="22" s="1"/>
  <c r="T107" i="10" s="1"/>
  <c r="P102" i="18"/>
  <c r="G104" i="22" s="1"/>
  <c r="F154" i="22"/>
  <c r="AO154" i="22" s="1"/>
  <c r="T156" i="10" s="1"/>
  <c r="P151" i="18"/>
  <c r="G154" i="22" s="1"/>
  <c r="AP154" i="22" s="1"/>
  <c r="U156" i="10" s="1"/>
  <c r="F135" i="22"/>
  <c r="AO135" i="22" s="1"/>
  <c r="T138" i="10" s="1"/>
  <c r="P133" i="18"/>
  <c r="G135" i="22" s="1"/>
  <c r="AP135" i="22" s="1"/>
  <c r="U138" i="10" s="1"/>
  <c r="AF293" i="22"/>
  <c r="AE227" i="22"/>
  <c r="F242" i="22"/>
  <c r="P239" i="18"/>
  <c r="G242" i="22" s="1"/>
  <c r="AP242" i="22" s="1"/>
  <c r="U244" i="10" s="1"/>
  <c r="F59" i="22"/>
  <c r="AO59" i="22" s="1"/>
  <c r="T62" i="10" s="1"/>
  <c r="P57" i="18"/>
  <c r="G59" i="22" s="1"/>
  <c r="AP59" i="22" s="1"/>
  <c r="U62" i="10" s="1"/>
  <c r="F254" i="22"/>
  <c r="AO254" i="22" s="1"/>
  <c r="T256" i="10" s="1"/>
  <c r="P251" i="18"/>
  <c r="G254" i="22" s="1"/>
  <c r="P182" i="18"/>
  <c r="G184" i="22" s="1"/>
  <c r="F109" i="22"/>
  <c r="AO109" i="22" s="1"/>
  <c r="T111" i="10" s="1"/>
  <c r="P107" i="18"/>
  <c r="G109" i="22" s="1"/>
  <c r="AP109" i="22" s="1"/>
  <c r="U111" i="10" s="1"/>
  <c r="P179" i="18"/>
  <c r="G181" i="22" s="1"/>
  <c r="P191" i="18"/>
  <c r="G192" i="22" s="1"/>
  <c r="F260" i="22"/>
  <c r="AO260" i="22" s="1"/>
  <c r="T262" i="10" s="1"/>
  <c r="P257" i="18"/>
  <c r="G260" i="22" s="1"/>
  <c r="AP260" i="22" s="1"/>
  <c r="U262" i="10" s="1"/>
  <c r="F64" i="22"/>
  <c r="P62" i="18"/>
  <c r="G64" i="22" s="1"/>
  <c r="AP64" i="22" s="1"/>
  <c r="U67" i="10" s="1"/>
  <c r="F15" i="22"/>
  <c r="AO15" i="22" s="1"/>
  <c r="T17" i="10" s="1"/>
  <c r="P12" i="18"/>
  <c r="G15" i="22" s="1"/>
  <c r="AP15" i="22" s="1"/>
  <c r="U17" i="10" s="1"/>
  <c r="F136" i="22"/>
  <c r="AO136" i="22" s="1"/>
  <c r="T139" i="10" s="1"/>
  <c r="P134" i="18"/>
  <c r="G136" i="22" s="1"/>
  <c r="AP136" i="22" s="1"/>
  <c r="U139" i="10" s="1"/>
  <c r="P170" i="18"/>
  <c r="G172" i="22" s="1"/>
  <c r="F201" i="22"/>
  <c r="AO201" i="22" s="1"/>
  <c r="P198" i="18"/>
  <c r="G201" i="22" s="1"/>
  <c r="AP201" i="22" s="1"/>
  <c r="U203" i="10" s="1"/>
  <c r="F122" i="22"/>
  <c r="AO122" i="22" s="1"/>
  <c r="T125" i="10" s="1"/>
  <c r="P120" i="18"/>
  <c r="G122" i="22" s="1"/>
  <c r="AP122" i="22" s="1"/>
  <c r="U125" i="10" s="1"/>
  <c r="P242" i="18"/>
  <c r="G245" i="22" s="1"/>
  <c r="AF245" i="22" s="1"/>
  <c r="AF9" i="22"/>
  <c r="AE9" i="22"/>
  <c r="F25" i="22"/>
  <c r="AO25" i="22" s="1"/>
  <c r="T28" i="10" s="1"/>
  <c r="P23" i="18"/>
  <c r="G25" i="22" s="1"/>
  <c r="AP25" i="22" s="1"/>
  <c r="U28" i="10" s="1"/>
  <c r="P200" i="18"/>
  <c r="G203" i="22" s="1"/>
  <c r="AF142" i="22"/>
  <c r="P19" i="18"/>
  <c r="G21" i="22" s="1"/>
  <c r="AF265" i="22"/>
  <c r="L267" i="9" s="1"/>
  <c r="M267" i="9" s="1"/>
  <c r="F130" i="22"/>
  <c r="AO130" i="22" s="1"/>
  <c r="T133" i="10" s="1"/>
  <c r="P128" i="18"/>
  <c r="G130" i="22" s="1"/>
  <c r="AP130" i="22" s="1"/>
  <c r="U133" i="10" s="1"/>
  <c r="P112" i="18"/>
  <c r="G114" i="22" s="1"/>
  <c r="F264" i="22"/>
  <c r="AO264" i="22" s="1"/>
  <c r="T266" i="10" s="1"/>
  <c r="P261" i="18"/>
  <c r="G264" i="22" s="1"/>
  <c r="AP264" i="22" s="1"/>
  <c r="U266" i="10" s="1"/>
  <c r="F89" i="22"/>
  <c r="AO89" i="22" s="1"/>
  <c r="P87" i="18"/>
  <c r="G89" i="22" s="1"/>
  <c r="AP89" i="22" s="1"/>
  <c r="U92" i="10" s="1"/>
  <c r="F249" i="22"/>
  <c r="AO249" i="22" s="1"/>
  <c r="P246" i="18"/>
  <c r="G249" i="22" s="1"/>
  <c r="AP249" i="22" s="1"/>
  <c r="U251" i="10" s="1"/>
  <c r="F198" i="22"/>
  <c r="AO198" i="22" s="1"/>
  <c r="P154" i="18"/>
  <c r="G198" i="22" s="1"/>
  <c r="AP198" i="22" s="1"/>
  <c r="U159" i="10" s="1"/>
  <c r="F284" i="22"/>
  <c r="AO284" i="22" s="1"/>
  <c r="T286" i="10" s="1"/>
  <c r="P281" i="18"/>
  <c r="G284" i="22" s="1"/>
  <c r="AP284" i="22" s="1"/>
  <c r="U286" i="10" s="1"/>
  <c r="F289" i="22"/>
  <c r="AO289" i="22" s="1"/>
  <c r="T291" i="10" s="1"/>
  <c r="P286" i="18"/>
  <c r="G289" i="22" s="1"/>
  <c r="AP289" i="22" s="1"/>
  <c r="U291" i="10" s="1"/>
  <c r="P184" i="18"/>
  <c r="G186" i="22" s="1"/>
  <c r="P249" i="18"/>
  <c r="G252" i="22" s="1"/>
  <c r="P21" i="18"/>
  <c r="G23" i="22" s="1"/>
  <c r="P171" i="18"/>
  <c r="G173" i="22" s="1"/>
  <c r="P199" i="18"/>
  <c r="G202" i="22" s="1"/>
  <c r="AE181" i="22"/>
  <c r="P180" i="18"/>
  <c r="G182" i="22" s="1"/>
  <c r="AE156" i="22"/>
  <c r="AF156" i="22"/>
  <c r="F78" i="22"/>
  <c r="AO78" i="22" s="1"/>
  <c r="T81" i="10" s="1"/>
  <c r="P76" i="18"/>
  <c r="G78" i="22" s="1"/>
  <c r="P268" i="18"/>
  <c r="G271" i="22" s="1"/>
  <c r="F152" i="22"/>
  <c r="AO152" i="22" s="1"/>
  <c r="P149" i="18"/>
  <c r="G152" i="22" s="1"/>
  <c r="AP152" i="22" s="1"/>
  <c r="U154" i="10" s="1"/>
  <c r="F285" i="22"/>
  <c r="AO285" i="22" s="1"/>
  <c r="T287" i="10" s="1"/>
  <c r="P282" i="18"/>
  <c r="G285" i="22" s="1"/>
  <c r="AP285" i="22" s="1"/>
  <c r="U287" i="10" s="1"/>
  <c r="F55" i="22"/>
  <c r="AO55" i="22" s="1"/>
  <c r="T58" i="10" s="1"/>
  <c r="P53" i="18"/>
  <c r="G55" i="22" s="1"/>
  <c r="AP55" i="22" s="1"/>
  <c r="U58" i="10" s="1"/>
  <c r="P230" i="18"/>
  <c r="G233" i="22" s="1"/>
  <c r="F97" i="22"/>
  <c r="AO97" i="22" s="1"/>
  <c r="T100" i="10" s="1"/>
  <c r="P95" i="18"/>
  <c r="G97" i="22" s="1"/>
  <c r="F300" i="22"/>
  <c r="P297" i="18"/>
  <c r="G300" i="22" s="1"/>
  <c r="AP300" i="22" s="1"/>
  <c r="U302" i="10" s="1"/>
  <c r="F140" i="22"/>
  <c r="P137" i="18"/>
  <c r="G140" i="22" s="1"/>
  <c r="AP140" i="22" s="1"/>
  <c r="U142" i="10" s="1"/>
  <c r="Q293" i="18"/>
  <c r="F112" i="22"/>
  <c r="AO112" i="22" s="1"/>
  <c r="T115" i="10" s="1"/>
  <c r="P110" i="18"/>
  <c r="G112" i="22" s="1"/>
  <c r="AP112" i="22" s="1"/>
  <c r="U115" i="10" s="1"/>
  <c r="F281" i="22"/>
  <c r="AO281" i="22" s="1"/>
  <c r="T283" i="10" s="1"/>
  <c r="P278" i="18"/>
  <c r="G281" i="22" s="1"/>
  <c r="AP281" i="22" s="1"/>
  <c r="U283" i="10" s="1"/>
  <c r="P68" i="18"/>
  <c r="G70" i="22" s="1"/>
  <c r="F155" i="22"/>
  <c r="AO155" i="22" s="1"/>
  <c r="T157" i="10" s="1"/>
  <c r="P152" i="18"/>
  <c r="G155" i="22" s="1"/>
  <c r="AP155" i="22" s="1"/>
  <c r="U157" i="10" s="1"/>
  <c r="F303" i="22"/>
  <c r="AO303" i="22" s="1"/>
  <c r="T305" i="10" s="1"/>
  <c r="P300" i="18"/>
  <c r="G303" i="22" s="1"/>
  <c r="P237" i="18"/>
  <c r="G240" i="22" s="1"/>
  <c r="F247" i="22"/>
  <c r="AO247" i="22" s="1"/>
  <c r="T249" i="10" s="1"/>
  <c r="P244" i="18"/>
  <c r="G247" i="22" s="1"/>
  <c r="AP247" i="22" s="1"/>
  <c r="U249" i="10" s="1"/>
  <c r="AF215" i="22"/>
  <c r="AE215" i="22"/>
  <c r="AF35" i="22"/>
  <c r="F231" i="22"/>
  <c r="AO231" i="22" s="1"/>
  <c r="P228" i="18"/>
  <c r="G231" i="22" s="1"/>
  <c r="F304" i="22"/>
  <c r="P301" i="18"/>
  <c r="G304" i="22" s="1"/>
  <c r="AP304" i="22" s="1"/>
  <c r="U306" i="10" s="1"/>
  <c r="P296" i="18"/>
  <c r="G299" i="22" s="1"/>
  <c r="F125" i="22"/>
  <c r="AO125" i="22" s="1"/>
  <c r="P123" i="18"/>
  <c r="G125" i="22" s="1"/>
  <c r="AP125" i="22" s="1"/>
  <c r="U128" i="10" s="1"/>
  <c r="F128" i="22"/>
  <c r="P126" i="18"/>
  <c r="G128" i="22" s="1"/>
  <c r="AP128" i="22" s="1"/>
  <c r="U131" i="10" s="1"/>
  <c r="F169" i="22"/>
  <c r="P167" i="18"/>
  <c r="G169" i="22" s="1"/>
  <c r="AP169" i="22" s="1"/>
  <c r="U172" i="10" s="1"/>
  <c r="P145" i="18"/>
  <c r="G148" i="22" s="1"/>
  <c r="P185" i="18"/>
  <c r="G187" i="22" s="1"/>
  <c r="P220" i="18"/>
  <c r="G223" i="22" s="1"/>
  <c r="P202" i="18"/>
  <c r="G205" i="22" s="1"/>
  <c r="P280" i="18"/>
  <c r="G283" i="22" s="1"/>
  <c r="F272" i="22"/>
  <c r="AO272" i="22" s="1"/>
  <c r="T274" i="10" s="1"/>
  <c r="P269" i="18"/>
  <c r="G272" i="22" s="1"/>
  <c r="F211" i="22"/>
  <c r="AO211" i="22" s="1"/>
  <c r="P205" i="18"/>
  <c r="G211" i="22" s="1"/>
  <c r="AP211" i="22" s="1"/>
  <c r="U210" i="10" s="1"/>
  <c r="F225" i="22"/>
  <c r="AO225" i="22" s="1"/>
  <c r="P222" i="18"/>
  <c r="F278" i="22"/>
  <c r="AO278" i="22" s="1"/>
  <c r="T280" i="10" s="1"/>
  <c r="P275" i="18"/>
  <c r="G278" i="22" s="1"/>
  <c r="AP278" i="22" s="1"/>
  <c r="U280" i="10" s="1"/>
  <c r="F212" i="22"/>
  <c r="AO212" i="22" s="1"/>
  <c r="P209" i="18"/>
  <c r="G212" i="22" s="1"/>
  <c r="AP212" i="22" s="1"/>
  <c r="U214" i="10" s="1"/>
  <c r="F52" i="22"/>
  <c r="AO52" i="22" s="1"/>
  <c r="T55" i="10" s="1"/>
  <c r="P50" i="18"/>
  <c r="G52" i="22" s="1"/>
  <c r="AP52" i="22" s="1"/>
  <c r="U55" i="10" s="1"/>
  <c r="F179" i="22"/>
  <c r="AO179" i="22" s="1"/>
  <c r="T182" i="10" s="1"/>
  <c r="P177" i="18"/>
  <c r="G179" i="22" s="1"/>
  <c r="AP179" i="22" s="1"/>
  <c r="U182" i="10" s="1"/>
  <c r="F42" i="22"/>
  <c r="AO42" i="22" s="1"/>
  <c r="T45" i="10" s="1"/>
  <c r="P40" i="18"/>
  <c r="G42" i="22" s="1"/>
  <c r="AP42" i="22" s="1"/>
  <c r="U45" i="10" s="1"/>
  <c r="F117" i="22"/>
  <c r="AO117" i="22" s="1"/>
  <c r="T120" i="10" s="1"/>
  <c r="P115" i="18"/>
  <c r="G117" i="22" s="1"/>
  <c r="F11" i="22"/>
  <c r="AO11" i="22" s="1"/>
  <c r="T13" i="10" s="1"/>
  <c r="P8" i="18"/>
  <c r="G11" i="22" s="1"/>
  <c r="AP11" i="22" s="1"/>
  <c r="U13" i="10" s="1"/>
  <c r="F40" i="22"/>
  <c r="AO40" i="22" s="1"/>
  <c r="T43" i="10" s="1"/>
  <c r="P38" i="18"/>
  <c r="G40" i="22" s="1"/>
  <c r="AP40" i="22" s="1"/>
  <c r="U43" i="10" s="1"/>
  <c r="F57" i="22"/>
  <c r="P55" i="18"/>
  <c r="G57" i="22" s="1"/>
  <c r="AP57" i="22" s="1"/>
  <c r="U60" i="10" s="1"/>
  <c r="F305" i="22"/>
  <c r="P302" i="18"/>
  <c r="G305" i="22" s="1"/>
  <c r="AP305" i="22" s="1"/>
  <c r="U307" i="10" s="1"/>
  <c r="AE311" i="22"/>
  <c r="F56" i="22"/>
  <c r="AO56" i="22" s="1"/>
  <c r="T59" i="10" s="1"/>
  <c r="P54" i="18"/>
  <c r="G56" i="22" s="1"/>
  <c r="AP56" i="22" s="1"/>
  <c r="U59" i="10" s="1"/>
  <c r="P69" i="18"/>
  <c r="G71" i="22" s="1"/>
  <c r="AF296" i="22"/>
  <c r="F34" i="22"/>
  <c r="AO34" i="22" s="1"/>
  <c r="T37" i="10" s="1"/>
  <c r="P32" i="18"/>
  <c r="G34" i="22" s="1"/>
  <c r="AP34" i="22" s="1"/>
  <c r="U37" i="10" s="1"/>
  <c r="F116" i="22"/>
  <c r="AO116" i="22" s="1"/>
  <c r="T119" i="10" s="1"/>
  <c r="P114" i="18"/>
  <c r="G116" i="22" s="1"/>
  <c r="AP116" i="22" s="1"/>
  <c r="U119" i="10" s="1"/>
  <c r="F268" i="22"/>
  <c r="AO268" i="22" s="1"/>
  <c r="T270" i="10" s="1"/>
  <c r="P265" i="18"/>
  <c r="G268" i="22" s="1"/>
  <c r="AP268" i="22" s="1"/>
  <c r="U270" i="10" s="1"/>
  <c r="F72" i="22"/>
  <c r="AO72" i="22" s="1"/>
  <c r="T75" i="10" s="1"/>
  <c r="P70" i="18"/>
  <c r="G72" i="22" s="1"/>
  <c r="AP72" i="22" s="1"/>
  <c r="U75" i="10" s="1"/>
  <c r="F230" i="22"/>
  <c r="P227" i="18"/>
  <c r="G230" i="22" s="1"/>
  <c r="AP230" i="22" s="1"/>
  <c r="U232" i="10" s="1"/>
  <c r="F53" i="22"/>
  <c r="AO53" i="22" s="1"/>
  <c r="P51" i="18"/>
  <c r="G53" i="22" s="1"/>
  <c r="AP53" i="22" s="1"/>
  <c r="U56" i="10" s="1"/>
  <c r="F48" i="22"/>
  <c r="AO48" i="22" s="1"/>
  <c r="T51" i="10" s="1"/>
  <c r="P46" i="18"/>
  <c r="G48" i="22" s="1"/>
  <c r="AP48" i="22" s="1"/>
  <c r="U51" i="10" s="1"/>
  <c r="F60" i="22"/>
  <c r="AO60" i="22" s="1"/>
  <c r="T63" i="10" s="1"/>
  <c r="F63" i="10" s="1"/>
  <c r="P58" i="18"/>
  <c r="G60" i="22" s="1"/>
  <c r="AP60" i="22" s="1"/>
  <c r="U63" i="10" s="1"/>
  <c r="F161" i="22"/>
  <c r="AO161" i="22" s="1"/>
  <c r="T164" i="10" s="1"/>
  <c r="P159" i="18"/>
  <c r="G161" i="22" s="1"/>
  <c r="AP161" i="22" s="1"/>
  <c r="U164" i="10" s="1"/>
  <c r="AF63" i="22"/>
  <c r="AE63" i="22"/>
  <c r="F218" i="22"/>
  <c r="AO218" i="22" s="1"/>
  <c r="P215" i="18"/>
  <c r="G218" i="22" s="1"/>
  <c r="AP218" i="22" s="1"/>
  <c r="U220" i="10" s="1"/>
  <c r="P155" i="18"/>
  <c r="G157" i="22" s="1"/>
  <c r="F302" i="22"/>
  <c r="AO302" i="22" s="1"/>
  <c r="T304" i="10" s="1"/>
  <c r="P299" i="18"/>
  <c r="G302" i="22" s="1"/>
  <c r="AP302" i="22" s="1"/>
  <c r="U304" i="10" s="1"/>
  <c r="F248" i="22"/>
  <c r="AO248" i="22" s="1"/>
  <c r="T250" i="10" s="1"/>
  <c r="P245" i="18"/>
  <c r="G248" i="22" s="1"/>
  <c r="AP248" i="22" s="1"/>
  <c r="U250" i="10" s="1"/>
  <c r="F46" i="22"/>
  <c r="AO46" i="22" s="1"/>
  <c r="T49" i="10" s="1"/>
  <c r="P44" i="18"/>
  <c r="G46" i="22" s="1"/>
  <c r="AP46" i="22" s="1"/>
  <c r="U49" i="10" s="1"/>
  <c r="F263" i="22"/>
  <c r="AO263" i="22" s="1"/>
  <c r="T265" i="10" s="1"/>
  <c r="P260" i="18"/>
  <c r="G263" i="22" s="1"/>
  <c r="AP263" i="22" s="1"/>
  <c r="U265" i="10" s="1"/>
  <c r="F174" i="22"/>
  <c r="AO174" i="22" s="1"/>
  <c r="T177" i="10" s="1"/>
  <c r="P172" i="18"/>
  <c r="G174" i="22" s="1"/>
  <c r="AP174" i="22" s="1"/>
  <c r="U177" i="10" s="1"/>
  <c r="P35" i="18"/>
  <c r="G37" i="22" s="1"/>
  <c r="AE37" i="22" s="1"/>
  <c r="P168" i="18"/>
  <c r="G170" i="22" s="1"/>
  <c r="P266" i="18"/>
  <c r="G269" i="22" s="1"/>
  <c r="P60" i="18"/>
  <c r="G62" i="22" s="1"/>
  <c r="AF62" i="22" s="1"/>
  <c r="F33" i="22"/>
  <c r="AO33" i="22" s="1"/>
  <c r="T36" i="10" s="1"/>
  <c r="P31" i="18"/>
  <c r="P150" i="18"/>
  <c r="G153" i="22" s="1"/>
  <c r="F44" i="22"/>
  <c r="AO44" i="22" s="1"/>
  <c r="T47" i="10" s="1"/>
  <c r="P42" i="18"/>
  <c r="G44" i="22" s="1"/>
  <c r="AP44" i="22" s="1"/>
  <c r="U47" i="10" s="1"/>
  <c r="F216" i="22"/>
  <c r="AO216" i="22" s="1"/>
  <c r="T218" i="10" s="1"/>
  <c r="P213" i="18"/>
  <c r="G216" i="22" s="1"/>
  <c r="F267" i="22"/>
  <c r="P264" i="18"/>
  <c r="G267" i="22" s="1"/>
  <c r="AP267" i="22" s="1"/>
  <c r="U269" i="10" s="1"/>
  <c r="F90" i="22"/>
  <c r="AO90" i="22" s="1"/>
  <c r="T93" i="10" s="1"/>
  <c r="P88" i="18"/>
  <c r="G90" i="22" s="1"/>
  <c r="AP90" i="22" s="1"/>
  <c r="U93" i="10" s="1"/>
  <c r="F273" i="22"/>
  <c r="AO273" i="22" s="1"/>
  <c r="P270" i="18"/>
  <c r="G273" i="22" s="1"/>
  <c r="AP273" i="22" s="1"/>
  <c r="U275" i="10" s="1"/>
  <c r="F290" i="22"/>
  <c r="AO290" i="22" s="1"/>
  <c r="T292" i="10" s="1"/>
  <c r="P287" i="18"/>
  <c r="G290" i="22" s="1"/>
  <c r="AP290" i="22" s="1"/>
  <c r="U292" i="10" s="1"/>
  <c r="AE22" i="22"/>
  <c r="AE158" i="22"/>
  <c r="AF158" i="22"/>
  <c r="F256" i="22"/>
  <c r="AO256" i="22" s="1"/>
  <c r="P253" i="18"/>
  <c r="G256" i="22" s="1"/>
  <c r="AP256" i="22" s="1"/>
  <c r="U258" i="10" s="1"/>
  <c r="F126" i="22"/>
  <c r="AO126" i="22" s="1"/>
  <c r="T129" i="10" s="1"/>
  <c r="P124" i="18"/>
  <c r="G126" i="22" s="1"/>
  <c r="AP126" i="22" s="1"/>
  <c r="U129" i="10" s="1"/>
  <c r="P216" i="18"/>
  <c r="G219" i="22" s="1"/>
  <c r="P162" i="18"/>
  <c r="G165" i="22" s="1"/>
  <c r="F200" i="22"/>
  <c r="AO200" i="22" s="1"/>
  <c r="T202" i="10" s="1"/>
  <c r="F202" i="10" s="1"/>
  <c r="P197" i="18"/>
  <c r="G200" i="22" s="1"/>
  <c r="AP200" i="22" s="1"/>
  <c r="U202" i="10" s="1"/>
  <c r="F180" i="22"/>
  <c r="P178" i="18"/>
  <c r="G180" i="22" s="1"/>
  <c r="AP180" i="22" s="1"/>
  <c r="U183" i="10" s="1"/>
  <c r="F121" i="22"/>
  <c r="P119" i="18"/>
  <c r="G121" i="22" s="1"/>
  <c r="AP121" i="22" s="1"/>
  <c r="U124" i="10" s="1"/>
  <c r="F235" i="22"/>
  <c r="AO235" i="22" s="1"/>
  <c r="P232" i="18"/>
  <c r="G235" i="22" s="1"/>
  <c r="AP235" i="22" s="1"/>
  <c r="U237" i="10" s="1"/>
  <c r="F105" i="22"/>
  <c r="AO105" i="22" s="1"/>
  <c r="T108" i="10" s="1"/>
  <c r="P103" i="18"/>
  <c r="G105" i="22" s="1"/>
  <c r="F141" i="22"/>
  <c r="AO141" i="22" s="1"/>
  <c r="T143" i="10" s="1"/>
  <c r="F143" i="10" s="1"/>
  <c r="P138" i="18"/>
  <c r="G141" i="22" s="1"/>
  <c r="AP141" i="22" s="1"/>
  <c r="U143" i="10" s="1"/>
  <c r="AF45" i="22"/>
  <c r="AE45" i="22"/>
  <c r="P100" i="18"/>
  <c r="G102" i="22" s="1"/>
  <c r="F295" i="22"/>
  <c r="AO295" i="22" s="1"/>
  <c r="P292" i="18"/>
  <c r="G295" i="22" s="1"/>
  <c r="F258" i="22"/>
  <c r="AO258" i="22" s="1"/>
  <c r="P255" i="18"/>
  <c r="G258" i="22" s="1"/>
  <c r="AP258" i="22" s="1"/>
  <c r="U260" i="10" s="1"/>
  <c r="F270" i="22"/>
  <c r="AO270" i="22" s="1"/>
  <c r="T272" i="10" s="1"/>
  <c r="P267" i="18"/>
  <c r="G270" i="22" s="1"/>
  <c r="AP270" i="22" s="1"/>
  <c r="U272" i="10" s="1"/>
  <c r="P233" i="18"/>
  <c r="G236" i="22" s="1"/>
  <c r="P142" i="18"/>
  <c r="G145" i="22" s="1"/>
  <c r="P248" i="18"/>
  <c r="G251" i="22" s="1"/>
  <c r="P217" i="18"/>
  <c r="G220" i="22" s="1"/>
  <c r="P132" i="18"/>
  <c r="G134" i="22" s="1"/>
  <c r="P254" i="18"/>
  <c r="G257" i="22" s="1"/>
  <c r="P36" i="18"/>
  <c r="G38" i="22" s="1"/>
  <c r="AL320" i="22"/>
  <c r="G197" i="10"/>
  <c r="L197" i="9"/>
  <c r="M197" i="9" s="1"/>
  <c r="F197" i="9"/>
  <c r="J320" i="22"/>
  <c r="I320" i="22"/>
  <c r="Q65" i="18"/>
  <c r="Q243" i="18"/>
  <c r="G248" i="10"/>
  <c r="D117" i="10"/>
  <c r="D125" i="10"/>
  <c r="D285" i="10"/>
  <c r="D80" i="10"/>
  <c r="D140" i="10"/>
  <c r="D273" i="10"/>
  <c r="D286" i="10"/>
  <c r="D34" i="10"/>
  <c r="D163" i="10"/>
  <c r="D35" i="10"/>
  <c r="D237" i="10"/>
  <c r="D84" i="10"/>
  <c r="D38" i="10"/>
  <c r="D103" i="10"/>
  <c r="D136" i="10"/>
  <c r="D82" i="10"/>
  <c r="D96" i="10"/>
  <c r="D116" i="10"/>
  <c r="D23" i="10"/>
  <c r="D109" i="10"/>
  <c r="D249" i="10"/>
  <c r="D274" i="10"/>
  <c r="D234" i="10"/>
  <c r="D97" i="10"/>
  <c r="D133" i="10"/>
  <c r="D307" i="10"/>
  <c r="D39" i="10"/>
  <c r="D146" i="10"/>
  <c r="D43" i="10"/>
  <c r="E36" i="10"/>
  <c r="D111" i="10"/>
  <c r="D144" i="10"/>
  <c r="D308" i="10"/>
  <c r="D184" i="10"/>
  <c r="D194" i="10"/>
  <c r="D126" i="10"/>
  <c r="D41" i="10"/>
  <c r="D107" i="10"/>
  <c r="D75" i="10"/>
  <c r="D314" i="10"/>
  <c r="D188" i="10"/>
  <c r="D246" i="10"/>
  <c r="D161" i="10"/>
  <c r="D173" i="10"/>
  <c r="D263" i="10"/>
  <c r="D154" i="10"/>
  <c r="D25" i="10"/>
  <c r="D235" i="10"/>
  <c r="D29" i="10"/>
  <c r="D205" i="10"/>
  <c r="D204" i="10"/>
  <c r="D294" i="10"/>
  <c r="D44" i="10"/>
  <c r="D183" i="10"/>
  <c r="D299" i="10"/>
  <c r="D296" i="10"/>
  <c r="D302" i="10"/>
  <c r="D291" i="10"/>
  <c r="D290" i="10"/>
  <c r="D301" i="10"/>
  <c r="D293" i="10"/>
  <c r="D232" i="10"/>
  <c r="D211" i="10"/>
  <c r="D160" i="10"/>
  <c r="D219" i="10"/>
  <c r="D228" i="10"/>
  <c r="D149" i="10"/>
  <c r="D142" i="10"/>
  <c r="D225" i="10"/>
  <c r="D162" i="10"/>
  <c r="D100" i="10"/>
  <c r="D171" i="10"/>
  <c r="D156" i="10"/>
  <c r="D244" i="10"/>
  <c r="D258" i="10"/>
  <c r="D268" i="10"/>
  <c r="D222" i="10"/>
  <c r="D52" i="10"/>
  <c r="D45" i="10"/>
  <c r="D191" i="10"/>
  <c r="D74" i="10"/>
  <c r="D51" i="10"/>
  <c r="D115" i="10"/>
  <c r="D73" i="10"/>
  <c r="D284" i="10"/>
  <c r="D77" i="10"/>
  <c r="D230" i="10"/>
  <c r="D13" i="10"/>
  <c r="D27" i="10"/>
  <c r="D88" i="10"/>
  <c r="D189" i="10"/>
  <c r="D276" i="10"/>
  <c r="E276" i="10"/>
  <c r="D61" i="10"/>
  <c r="E226" i="10"/>
  <c r="D195" i="10"/>
  <c r="D104" i="10"/>
  <c r="D47" i="10"/>
  <c r="D148" i="10"/>
  <c r="D281" i="10"/>
  <c r="D112" i="10"/>
  <c r="D147" i="10"/>
  <c r="D229" i="10"/>
  <c r="D272" i="10"/>
  <c r="D220" i="10"/>
  <c r="D65" i="10"/>
  <c r="D143" i="10"/>
  <c r="D53" i="10"/>
  <c r="D139" i="10"/>
  <c r="D40" i="10"/>
  <c r="D319" i="10"/>
  <c r="D262" i="10"/>
  <c r="D208" i="10"/>
  <c r="D312" i="10"/>
  <c r="D238" i="10"/>
  <c r="D87" i="10"/>
  <c r="D54" i="10"/>
  <c r="D150" i="10"/>
  <c r="D127" i="10"/>
  <c r="D68" i="10"/>
  <c r="D178" i="10"/>
  <c r="D265" i="10"/>
  <c r="D247" i="10"/>
  <c r="D305" i="10"/>
  <c r="D202" i="10"/>
  <c r="D242" i="10"/>
  <c r="D298" i="10"/>
  <c r="D72" i="10"/>
  <c r="D175" i="10"/>
  <c r="D110" i="10"/>
  <c r="D255" i="10"/>
  <c r="D239" i="10"/>
  <c r="D200" i="10"/>
  <c r="D289" i="10"/>
  <c r="D21" i="10"/>
  <c r="D48" i="10"/>
  <c r="D98" i="10"/>
  <c r="D166" i="10"/>
  <c r="D270" i="10"/>
  <c r="D141" i="10"/>
  <c r="D122" i="10"/>
  <c r="D216" i="10"/>
  <c r="D153" i="10"/>
  <c r="D177" i="10"/>
  <c r="D128" i="10"/>
  <c r="D231" i="10"/>
  <c r="D50" i="10"/>
  <c r="R11" i="10"/>
  <c r="D11" i="10" s="1"/>
  <c r="D46" i="10"/>
  <c r="D49" i="10"/>
  <c r="D181" i="10"/>
  <c r="E12" i="10"/>
  <c r="G12" i="10"/>
  <c r="E210" i="10"/>
  <c r="D152" i="10"/>
  <c r="D300" i="10"/>
  <c r="D158" i="10"/>
  <c r="D311" i="10"/>
  <c r="D187" i="10"/>
  <c r="D102" i="10"/>
  <c r="D81" i="10"/>
  <c r="D275" i="10"/>
  <c r="D165" i="10"/>
  <c r="D159" i="10"/>
  <c r="D92" i="10"/>
  <c r="D297" i="10"/>
  <c r="D287" i="10"/>
  <c r="D129" i="10"/>
  <c r="D233" i="10"/>
  <c r="D179" i="10"/>
  <c r="D221" i="10"/>
  <c r="E221" i="10"/>
  <c r="D19" i="10"/>
  <c r="D279" i="10"/>
  <c r="D132" i="10"/>
  <c r="D55" i="10"/>
  <c r="D201" i="10"/>
  <c r="D174" i="10"/>
  <c r="D193" i="10"/>
  <c r="D261" i="10"/>
  <c r="D94" i="10"/>
  <c r="D67" i="10"/>
  <c r="D63" i="10"/>
  <c r="D155" i="10"/>
  <c r="D250" i="10"/>
  <c r="D269" i="10"/>
  <c r="D32" i="10"/>
  <c r="D24" i="10"/>
  <c r="D76" i="10"/>
  <c r="D288" i="10"/>
  <c r="D243" i="10"/>
  <c r="D134" i="10"/>
  <c r="D215" i="10"/>
  <c r="D137" i="10"/>
  <c r="D86" i="10"/>
  <c r="D203" i="10"/>
  <c r="D60" i="10"/>
  <c r="D56" i="10"/>
  <c r="D186" i="10"/>
  <c r="D218" i="10"/>
  <c r="D33" i="10"/>
  <c r="D167" i="10"/>
  <c r="D292" i="10"/>
  <c r="D306" i="10"/>
  <c r="D172" i="10"/>
  <c r="D101" i="10"/>
  <c r="D37" i="10"/>
  <c r="D206" i="10"/>
  <c r="D30" i="10"/>
  <c r="D280" i="10"/>
  <c r="D108" i="10"/>
  <c r="D123" i="10"/>
  <c r="D196" i="10"/>
  <c r="D78" i="10"/>
  <c r="D17" i="10"/>
  <c r="D89" i="10"/>
  <c r="D170" i="10"/>
  <c r="D259" i="10"/>
  <c r="D236" i="10"/>
  <c r="D316" i="10"/>
  <c r="D22" i="10"/>
  <c r="D114" i="10"/>
  <c r="D304" i="10"/>
  <c r="D90" i="10"/>
  <c r="D124" i="10"/>
  <c r="D214" i="10"/>
  <c r="D182" i="10"/>
  <c r="D271" i="10"/>
  <c r="D99" i="10"/>
  <c r="D42" i="10"/>
  <c r="D190" i="10"/>
  <c r="E224" i="10"/>
  <c r="D120" i="10"/>
  <c r="D105" i="10"/>
  <c r="D303" i="10"/>
  <c r="D151" i="10"/>
  <c r="D83" i="10"/>
  <c r="D176" i="10"/>
  <c r="D57" i="10"/>
  <c r="D62" i="10"/>
  <c r="D310" i="10"/>
  <c r="D69" i="10"/>
  <c r="D223" i="10"/>
  <c r="D209" i="10"/>
  <c r="D256" i="10"/>
  <c r="D240" i="10"/>
  <c r="D282" i="10"/>
  <c r="D130" i="10"/>
  <c r="D192" i="10"/>
  <c r="D79" i="10"/>
  <c r="E248" i="10"/>
  <c r="D91" i="10"/>
  <c r="D315" i="10"/>
  <c r="D251" i="10"/>
  <c r="D28" i="10"/>
  <c r="D135" i="10"/>
  <c r="D245" i="10"/>
  <c r="D31" i="10"/>
  <c r="D131" i="10"/>
  <c r="D118" i="10"/>
  <c r="D70" i="10"/>
  <c r="D157" i="10"/>
  <c r="D295" i="10"/>
  <c r="D119" i="10"/>
  <c r="D71" i="10"/>
  <c r="D138" i="10"/>
  <c r="D16" i="10"/>
  <c r="D199" i="10"/>
  <c r="D207" i="10"/>
  <c r="D145" i="10"/>
  <c r="D93" i="10"/>
  <c r="D85" i="10"/>
  <c r="D278" i="10"/>
  <c r="D58" i="10"/>
  <c r="D266" i="10"/>
  <c r="D277" i="10"/>
  <c r="D14" i="10"/>
  <c r="D260" i="10"/>
  <c r="D180" i="10"/>
  <c r="E227" i="10"/>
  <c r="D309" i="10"/>
  <c r="D121" i="10"/>
  <c r="D217" i="10"/>
  <c r="D317" i="10"/>
  <c r="D257" i="10"/>
  <c r="E99" i="31" s="1"/>
  <c r="D168" i="10"/>
  <c r="D169" i="10"/>
  <c r="D64" i="10"/>
  <c r="D185" i="10"/>
  <c r="D283" i="10"/>
  <c r="D95" i="10"/>
  <c r="D66" i="10"/>
  <c r="D59" i="10"/>
  <c r="D212" i="10"/>
  <c r="D264" i="10"/>
  <c r="D26" i="10"/>
  <c r="D20" i="10"/>
  <c r="D164" i="10"/>
  <c r="D252" i="10"/>
  <c r="D254" i="10"/>
  <c r="C319" i="10"/>
  <c r="F12" i="9"/>
  <c r="L12" i="9"/>
  <c r="M12" i="9" s="1"/>
  <c r="F221" i="10"/>
  <c r="F276" i="10"/>
  <c r="D213" i="10"/>
  <c r="F224" i="10"/>
  <c r="O313" i="18"/>
  <c r="N313" i="18"/>
  <c r="F215" i="10"/>
  <c r="Q18" i="18"/>
  <c r="Q303" i="18"/>
  <c r="F312" i="10"/>
  <c r="Q139" i="18"/>
  <c r="Q189" i="18"/>
  <c r="F196" i="10"/>
  <c r="Q273" i="18"/>
  <c r="F247" i="10"/>
  <c r="F235" i="10"/>
  <c r="F85" i="10"/>
  <c r="Q61" i="18"/>
  <c r="Q37" i="18"/>
  <c r="F261" i="10"/>
  <c r="F136" i="10"/>
  <c r="Q279" i="18"/>
  <c r="Q72" i="18"/>
  <c r="Q241" i="18"/>
  <c r="F295" i="10"/>
  <c r="Q6" i="18"/>
  <c r="F277" i="10"/>
  <c r="Q199" i="18"/>
  <c r="F176" i="10"/>
  <c r="Q266" i="18"/>
  <c r="Q212" i="18"/>
  <c r="Q218" i="18"/>
  <c r="F223" i="10"/>
  <c r="Q93" i="18"/>
  <c r="Q125" i="18"/>
  <c r="Q285" i="18"/>
  <c r="F35" i="10"/>
  <c r="Q120" i="18"/>
  <c r="Q111" i="18"/>
  <c r="Q175" i="18"/>
  <c r="F225" i="10"/>
  <c r="Q166" i="18"/>
  <c r="Q247" i="18"/>
  <c r="F252" i="10"/>
  <c r="F209" i="10"/>
  <c r="Q272" i="18"/>
  <c r="Q224" i="18"/>
  <c r="Q262" i="18"/>
  <c r="Q188" i="18"/>
  <c r="Q117" i="18"/>
  <c r="Q48" i="18"/>
  <c r="Q191" i="18"/>
  <c r="Q252" i="18"/>
  <c r="Q157" i="18"/>
  <c r="Q208" i="18"/>
  <c r="F205" i="10"/>
  <c r="F46" i="10"/>
  <c r="F228" i="10"/>
  <c r="F53" i="10"/>
  <c r="Q27" i="18"/>
  <c r="Q161" i="18"/>
  <c r="Q258" i="18"/>
  <c r="F257" i="10"/>
  <c r="E101" i="31" s="1"/>
  <c r="Q15" i="18"/>
  <c r="F21" i="10"/>
  <c r="F161" i="10"/>
  <c r="Q43" i="18"/>
  <c r="Q140" i="18"/>
  <c r="F146" i="10"/>
  <c r="Q75" i="18"/>
  <c r="Q214" i="18"/>
  <c r="Q144" i="18"/>
  <c r="Q259" i="18"/>
  <c r="Q289" i="18"/>
  <c r="Q250" i="18"/>
  <c r="Q99" i="18"/>
  <c r="F296" i="10"/>
  <c r="Q156" i="18"/>
  <c r="Q194" i="18"/>
  <c r="Q164" i="18"/>
  <c r="Q13" i="18"/>
  <c r="F279" i="10"/>
  <c r="Q127" i="18"/>
  <c r="Q284" i="18"/>
  <c r="Q112" i="18"/>
  <c r="Q305" i="18"/>
  <c r="F314" i="10"/>
  <c r="Q238" i="18"/>
  <c r="Q130" i="18"/>
  <c r="Q234" i="18"/>
  <c r="Q225" i="18"/>
  <c r="Q28" i="18"/>
  <c r="Q290" i="18"/>
  <c r="Q80" i="18"/>
  <c r="Q91" i="18"/>
  <c r="Q304" i="18"/>
  <c r="Q104" i="18"/>
  <c r="F238" i="10"/>
  <c r="Q71" i="18"/>
  <c r="Q153" i="18"/>
  <c r="F240" i="10"/>
  <c r="Q196" i="18"/>
  <c r="F25" i="10"/>
  <c r="Q163" i="18"/>
  <c r="Q20" i="18"/>
  <c r="Q64" i="18"/>
  <c r="Q45" i="18"/>
  <c r="Q310" i="18"/>
  <c r="Q107" i="18"/>
  <c r="F111" i="10"/>
  <c r="Q298" i="18"/>
  <c r="F291" i="10"/>
  <c r="Q202" i="18"/>
  <c r="F207" i="10"/>
  <c r="F169" i="10"/>
  <c r="Q160" i="18"/>
  <c r="Q186" i="18"/>
  <c r="Q183" i="18"/>
  <c r="Q145" i="18"/>
  <c r="Q14" i="18"/>
  <c r="F318" i="9"/>
  <c r="L318" i="9"/>
  <c r="M318" i="9" s="1"/>
  <c r="Q229" i="18"/>
  <c r="F234" i="10"/>
  <c r="Q77" i="18"/>
  <c r="F83" i="10"/>
  <c r="Q184" i="18"/>
  <c r="F191" i="10"/>
  <c r="Q275" i="18"/>
  <c r="Q151" i="18"/>
  <c r="F157" i="10"/>
  <c r="F245" i="10"/>
  <c r="Q134" i="18"/>
  <c r="Q131" i="18"/>
  <c r="Q195" i="18"/>
  <c r="F140" i="10"/>
  <c r="Q136" i="18"/>
  <c r="Q57" i="18"/>
  <c r="Q179" i="18"/>
  <c r="F98" i="10"/>
  <c r="F290" i="10"/>
  <c r="Q291" i="18"/>
  <c r="Q109" i="18"/>
  <c r="F117" i="10"/>
  <c r="Q170" i="18"/>
  <c r="Q256" i="18"/>
  <c r="F38" i="10"/>
  <c r="Q83" i="18"/>
  <c r="F185" i="10"/>
  <c r="Q25" i="18"/>
  <c r="F187" i="10"/>
  <c r="F294" i="10"/>
  <c r="Q82" i="18"/>
  <c r="I313" i="18"/>
  <c r="Q162" i="18" l="1"/>
  <c r="AF92" i="22"/>
  <c r="AE119" i="22"/>
  <c r="AF166" i="22"/>
  <c r="Q150" i="18"/>
  <c r="Q119" i="18"/>
  <c r="Q300" i="18"/>
  <c r="AF250" i="22"/>
  <c r="Q142" i="18"/>
  <c r="Q36" i="18"/>
  <c r="AF163" i="22"/>
  <c r="AE163" i="22"/>
  <c r="AE166" i="22"/>
  <c r="AF119" i="22"/>
  <c r="T246" i="10"/>
  <c r="F246" i="10" s="1"/>
  <c r="T92" i="10"/>
  <c r="F92" i="10" s="1"/>
  <c r="T300" i="10"/>
  <c r="F300" i="10" s="1"/>
  <c r="T14" i="10"/>
  <c r="F14" i="10" s="1"/>
  <c r="T297" i="10"/>
  <c r="F297" i="10" s="1"/>
  <c r="T203" i="10"/>
  <c r="F203" i="10" s="1"/>
  <c r="T226" i="10"/>
  <c r="F226" i="10" s="1"/>
  <c r="T236" i="10"/>
  <c r="F236" i="10" s="1"/>
  <c r="U113" i="10"/>
  <c r="G113" i="10" s="1"/>
  <c r="T206" i="10"/>
  <c r="F206" i="10" s="1"/>
  <c r="U276" i="10"/>
  <c r="G276" i="10" s="1"/>
  <c r="T56" i="10"/>
  <c r="F56" i="10" s="1"/>
  <c r="T264" i="10"/>
  <c r="F264" i="10" s="1"/>
  <c r="T113" i="10"/>
  <c r="F113" i="10" s="1"/>
  <c r="T79" i="10"/>
  <c r="F79" i="10" s="1"/>
  <c r="T260" i="10"/>
  <c r="F260" i="10" s="1"/>
  <c r="T152" i="10"/>
  <c r="F152" i="10" s="1"/>
  <c r="T102" i="10"/>
  <c r="F102" i="10" s="1"/>
  <c r="Q126" i="18"/>
  <c r="T16" i="10"/>
  <c r="F16" i="10" s="1"/>
  <c r="T27" i="10"/>
  <c r="F27" i="10" s="1"/>
  <c r="T64" i="10"/>
  <c r="F64" i="10" s="1"/>
  <c r="T39" i="10"/>
  <c r="F39" i="10" s="1"/>
  <c r="T258" i="10"/>
  <c r="F258" i="10" s="1"/>
  <c r="T128" i="10"/>
  <c r="F128" i="10" s="1"/>
  <c r="T212" i="10"/>
  <c r="F212" i="10" s="1"/>
  <c r="AF50" i="22"/>
  <c r="T227" i="10"/>
  <c r="F227" i="10" s="1"/>
  <c r="T220" i="10"/>
  <c r="F220" i="10" s="1"/>
  <c r="T154" i="10"/>
  <c r="F154" i="10" s="1"/>
  <c r="U15" i="10"/>
  <c r="G15" i="10" s="1"/>
  <c r="AF294" i="22"/>
  <c r="AP250" i="22"/>
  <c r="U252" i="10" s="1"/>
  <c r="T237" i="10"/>
  <c r="F237" i="10" s="1"/>
  <c r="T210" i="10"/>
  <c r="F210" i="10" s="1"/>
  <c r="T159" i="10"/>
  <c r="F159" i="10" s="1"/>
  <c r="T112" i="10"/>
  <c r="F112" i="10" s="1"/>
  <c r="T233" i="10"/>
  <c r="F233" i="10" s="1"/>
  <c r="AE50" i="22"/>
  <c r="T214" i="10"/>
  <c r="F214" i="10" s="1"/>
  <c r="T275" i="10"/>
  <c r="F275" i="10" s="1"/>
  <c r="T251" i="10"/>
  <c r="F251" i="10" s="1"/>
  <c r="Q257" i="18"/>
  <c r="Q271" i="18"/>
  <c r="AE274" i="22"/>
  <c r="AF274" i="22"/>
  <c r="L276" i="9" s="1"/>
  <c r="Q281" i="18"/>
  <c r="AF279" i="22"/>
  <c r="AE279" i="22"/>
  <c r="Q116" i="18"/>
  <c r="AF118" i="22"/>
  <c r="AE118" i="22"/>
  <c r="Q155" i="18"/>
  <c r="Q41" i="18"/>
  <c r="Q110" i="18"/>
  <c r="AE131" i="22"/>
  <c r="Q129" i="18"/>
  <c r="Q88" i="18"/>
  <c r="Q74" i="18"/>
  <c r="AF131" i="22"/>
  <c r="Q203" i="18"/>
  <c r="Q138" i="18"/>
  <c r="Q26" i="18"/>
  <c r="Q283" i="18"/>
  <c r="Q135" i="18"/>
  <c r="Q90" i="18"/>
  <c r="Q255" i="18"/>
  <c r="AF87" i="22"/>
  <c r="Q178" i="18"/>
  <c r="Q167" i="18"/>
  <c r="Q296" i="18"/>
  <c r="Q149" i="18"/>
  <c r="Q113" i="18"/>
  <c r="Q244" i="18"/>
  <c r="Q239" i="18"/>
  <c r="Q232" i="18"/>
  <c r="AE51" i="22"/>
  <c r="AO51" i="22"/>
  <c r="T54" i="10" s="1"/>
  <c r="AF76" i="22"/>
  <c r="AP76" i="22"/>
  <c r="AE157" i="22"/>
  <c r="AP157" i="22"/>
  <c r="AF300" i="22"/>
  <c r="AO300" i="22"/>
  <c r="T302" i="10" s="1"/>
  <c r="AE206" i="22"/>
  <c r="AP206" i="22"/>
  <c r="AE92" i="22"/>
  <c r="AP92" i="22"/>
  <c r="AF43" i="22"/>
  <c r="AP43" i="22"/>
  <c r="Q137" i="18"/>
  <c r="Q85" i="18"/>
  <c r="AE35" i="22"/>
  <c r="Q147" i="18"/>
  <c r="Q67" i="18"/>
  <c r="AE182" i="22"/>
  <c r="AP182" i="22"/>
  <c r="AE192" i="22"/>
  <c r="AP192" i="22"/>
  <c r="U195" i="10" s="1"/>
  <c r="Q81" i="18"/>
  <c r="Q59" i="18"/>
  <c r="AE121" i="22"/>
  <c r="AO121" i="22"/>
  <c r="AE309" i="22"/>
  <c r="AE305" i="22"/>
  <c r="AO305" i="22"/>
  <c r="AF169" i="22"/>
  <c r="L172" i="9" s="1"/>
  <c r="M172" i="9" s="1"/>
  <c r="AO169" i="22"/>
  <c r="AF97" i="22"/>
  <c r="AP97" i="22"/>
  <c r="U100" i="10" s="1"/>
  <c r="AE245" i="22"/>
  <c r="AP245" i="22"/>
  <c r="AF181" i="22"/>
  <c r="AP181" i="22"/>
  <c r="AF175" i="22"/>
  <c r="AO175" i="22"/>
  <c r="T178" i="10" s="1"/>
  <c r="AE98" i="22"/>
  <c r="AO98" i="22"/>
  <c r="T101" i="10" s="1"/>
  <c r="AE229" i="22"/>
  <c r="AE100" i="22"/>
  <c r="AO100" i="22"/>
  <c r="AE217" i="22"/>
  <c r="AP217" i="22"/>
  <c r="AF127" i="22"/>
  <c r="AF137" i="22"/>
  <c r="AP137" i="22"/>
  <c r="U140" i="10" s="1"/>
  <c r="AE236" i="22"/>
  <c r="AP236" i="22"/>
  <c r="U238" i="10" s="1"/>
  <c r="AF28" i="22"/>
  <c r="AO28" i="22"/>
  <c r="AE261" i="22"/>
  <c r="AP261" i="22"/>
  <c r="U263" i="10" s="1"/>
  <c r="Q17" i="18"/>
  <c r="Q220" i="18"/>
  <c r="AE62" i="22"/>
  <c r="AP62" i="22"/>
  <c r="AF309" i="22"/>
  <c r="AF240" i="22"/>
  <c r="L242" i="9" s="1"/>
  <c r="M242" i="9" s="1"/>
  <c r="AP240" i="22"/>
  <c r="AF202" i="22"/>
  <c r="L204" i="9" s="1"/>
  <c r="M204" i="9" s="1"/>
  <c r="AP202" i="22"/>
  <c r="U204" i="10" s="1"/>
  <c r="AF104" i="22"/>
  <c r="L107" i="9" s="1"/>
  <c r="M107" i="9" s="1"/>
  <c r="AP104" i="22"/>
  <c r="U107" i="10" s="1"/>
  <c r="AE96" i="22"/>
  <c r="AP96" i="22"/>
  <c r="U99" i="10" s="1"/>
  <c r="AE84" i="22"/>
  <c r="AP84" i="22"/>
  <c r="U87" i="10" s="1"/>
  <c r="AF39" i="22"/>
  <c r="AP39" i="22"/>
  <c r="U42" i="10" s="1"/>
  <c r="AF195" i="22"/>
  <c r="L198" i="9" s="1"/>
  <c r="M198" i="9" s="1"/>
  <c r="AP195" i="22"/>
  <c r="U198" i="10" s="1"/>
  <c r="G198" i="10" s="1"/>
  <c r="AE113" i="22"/>
  <c r="AP113" i="22"/>
  <c r="AE190" i="22"/>
  <c r="AP190" i="22"/>
  <c r="AF164" i="22"/>
  <c r="AP164" i="22"/>
  <c r="U167" i="10" s="1"/>
  <c r="AF105" i="22"/>
  <c r="AP105" i="22"/>
  <c r="U108" i="10" s="1"/>
  <c r="AF223" i="22"/>
  <c r="L225" i="9" s="1"/>
  <c r="M225" i="9" s="1"/>
  <c r="AP223" i="22"/>
  <c r="Q49" i="18"/>
  <c r="Q299" i="18"/>
  <c r="AE286" i="22"/>
  <c r="AP286" i="22"/>
  <c r="U288" i="10" s="1"/>
  <c r="Q307" i="18"/>
  <c r="Q174" i="18"/>
  <c r="Q89" i="18"/>
  <c r="Q33" i="18"/>
  <c r="Q42" i="18"/>
  <c r="AF180" i="22"/>
  <c r="AO180" i="22"/>
  <c r="AF269" i="22"/>
  <c r="AP269" i="22"/>
  <c r="U271" i="10" s="1"/>
  <c r="AF57" i="22"/>
  <c r="AO57" i="22"/>
  <c r="AF128" i="22"/>
  <c r="AO128" i="22"/>
  <c r="T131" i="10" s="1"/>
  <c r="AF303" i="22"/>
  <c r="AP303" i="22"/>
  <c r="AF233" i="22"/>
  <c r="AP233" i="22"/>
  <c r="AE173" i="22"/>
  <c r="AP173" i="22"/>
  <c r="AE114" i="22"/>
  <c r="AP114" i="22"/>
  <c r="AE210" i="22"/>
  <c r="AO210" i="22"/>
  <c r="AF29" i="22"/>
  <c r="AO29" i="22"/>
  <c r="AF138" i="22"/>
  <c r="AP138" i="22"/>
  <c r="U141" i="10" s="1"/>
  <c r="AF237" i="22"/>
  <c r="L239" i="9" s="1"/>
  <c r="M239" i="9" s="1"/>
  <c r="AP237" i="22"/>
  <c r="AE203" i="22"/>
  <c r="AP203" i="22"/>
  <c r="U205" i="10" s="1"/>
  <c r="AF80" i="22"/>
  <c r="AP80" i="22"/>
  <c r="U83" i="10" s="1"/>
  <c r="AE64" i="22"/>
  <c r="AO64" i="22"/>
  <c r="AE160" i="22"/>
  <c r="AO160" i="22"/>
  <c r="AF23" i="22"/>
  <c r="AP23" i="22"/>
  <c r="AF184" i="22"/>
  <c r="AP184" i="22"/>
  <c r="U187" i="10" s="1"/>
  <c r="AE124" i="22"/>
  <c r="AP124" i="22"/>
  <c r="U127" i="10" s="1"/>
  <c r="AE301" i="22"/>
  <c r="AP301" i="22"/>
  <c r="AF82" i="22"/>
  <c r="AP82" i="22"/>
  <c r="U85" i="10" s="1"/>
  <c r="AE293" i="22"/>
  <c r="AP293" i="22"/>
  <c r="U295" i="10" s="1"/>
  <c r="AE265" i="22"/>
  <c r="F267" i="9" s="1"/>
  <c r="AP265" i="22"/>
  <c r="AE277" i="22"/>
  <c r="AP277" i="22"/>
  <c r="AE275" i="22"/>
  <c r="AP275" i="22"/>
  <c r="AF205" i="22"/>
  <c r="AP205" i="22"/>
  <c r="U207" i="10" s="1"/>
  <c r="AF91" i="22"/>
  <c r="AP91" i="22"/>
  <c r="AF230" i="22"/>
  <c r="L232" i="9" s="1"/>
  <c r="M232" i="9" s="1"/>
  <c r="AO230" i="22"/>
  <c r="AF162" i="22"/>
  <c r="AO162" i="22"/>
  <c r="AF129" i="22"/>
  <c r="AP129" i="22"/>
  <c r="AE145" i="22"/>
  <c r="AP145" i="22"/>
  <c r="AF187" i="22"/>
  <c r="AP187" i="22"/>
  <c r="U190" i="10" s="1"/>
  <c r="AE148" i="22"/>
  <c r="AP148" i="22"/>
  <c r="AF297" i="22"/>
  <c r="AP297" i="22"/>
  <c r="U299" i="10" s="1"/>
  <c r="Q51" i="18"/>
  <c r="AE252" i="22"/>
  <c r="F254" i="9" s="1"/>
  <c r="AP252" i="22"/>
  <c r="AE65" i="22"/>
  <c r="AP65" i="22"/>
  <c r="U68" i="10" s="1"/>
  <c r="Q76" i="18"/>
  <c r="Q223" i="18"/>
  <c r="AF299" i="22"/>
  <c r="AP299" i="22"/>
  <c r="AF186" i="22"/>
  <c r="AP186" i="22"/>
  <c r="AF192" i="22"/>
  <c r="AE172" i="22"/>
  <c r="AP172" i="22"/>
  <c r="AE254" i="22"/>
  <c r="AP254" i="22"/>
  <c r="U256" i="10" s="1"/>
  <c r="G256" i="10" s="1"/>
  <c r="AF168" i="22"/>
  <c r="AP168" i="22"/>
  <c r="AF77" i="22"/>
  <c r="AP77" i="22"/>
  <c r="AE177" i="22"/>
  <c r="AP177" i="22"/>
  <c r="U180" i="10" s="1"/>
  <c r="AF78" i="22"/>
  <c r="AP78" i="22"/>
  <c r="AF83" i="22"/>
  <c r="AP83" i="22"/>
  <c r="AF310" i="22"/>
  <c r="L313" i="9" s="1"/>
  <c r="M313" i="9" s="1"/>
  <c r="AP310" i="22"/>
  <c r="AE226" i="22"/>
  <c r="F228" i="9" s="1"/>
  <c r="AP226" i="22"/>
  <c r="AF69" i="22"/>
  <c r="AO69" i="22"/>
  <c r="T72" i="10" s="1"/>
  <c r="F72" i="10" s="1"/>
  <c r="AF94" i="22"/>
  <c r="AP94" i="22"/>
  <c r="U97" i="10" s="1"/>
  <c r="AF170" i="22"/>
  <c r="AP170" i="22"/>
  <c r="Q302" i="18"/>
  <c r="Q97" i="18"/>
  <c r="Q70" i="18"/>
  <c r="AF38" i="22"/>
  <c r="AP38" i="22"/>
  <c r="AF102" i="22"/>
  <c r="AP102" i="22"/>
  <c r="AF165" i="22"/>
  <c r="AP165" i="22"/>
  <c r="AE267" i="22"/>
  <c r="F269" i="9" s="1"/>
  <c r="AO267" i="22"/>
  <c r="AF70" i="22"/>
  <c r="AP70" i="22"/>
  <c r="U73" i="10" s="1"/>
  <c r="AE75" i="22"/>
  <c r="AP75" i="22"/>
  <c r="AF255" i="22"/>
  <c r="L257" i="9" s="1"/>
  <c r="M257" i="9" s="1"/>
  <c r="AP255" i="22"/>
  <c r="U257" i="10" s="1"/>
  <c r="AF207" i="22"/>
  <c r="AP207" i="22"/>
  <c r="U209" i="10" s="1"/>
  <c r="AF251" i="22"/>
  <c r="L253" i="9" s="1"/>
  <c r="AP251" i="22"/>
  <c r="U253" i="10" s="1"/>
  <c r="G253" i="10" s="1"/>
  <c r="AE19" i="22"/>
  <c r="AP19" i="22"/>
  <c r="Q158" i="18"/>
  <c r="Q92" i="18"/>
  <c r="Q201" i="18"/>
  <c r="Q154" i="18"/>
  <c r="Q40" i="18"/>
  <c r="Q128" i="18"/>
  <c r="AE257" i="22"/>
  <c r="F259" i="9" s="1"/>
  <c r="AP257" i="22"/>
  <c r="AF219" i="22"/>
  <c r="L221" i="9" s="1"/>
  <c r="M221" i="9" s="1"/>
  <c r="AP219" i="22"/>
  <c r="AE117" i="22"/>
  <c r="AP117" i="22"/>
  <c r="U120" i="10" s="1"/>
  <c r="AE304" i="22"/>
  <c r="AO304" i="22"/>
  <c r="AF247" i="22"/>
  <c r="L249" i="9" s="1"/>
  <c r="M249" i="9" s="1"/>
  <c r="AE54" i="22"/>
  <c r="AP54" i="22"/>
  <c r="AF262" i="22"/>
  <c r="L264" i="9" s="1"/>
  <c r="M264" i="9" s="1"/>
  <c r="AP262" i="22"/>
  <c r="AF66" i="22"/>
  <c r="AP66" i="22"/>
  <c r="U69" i="10" s="1"/>
  <c r="AF22" i="22"/>
  <c r="AP22" i="22"/>
  <c r="U25" i="10" s="1"/>
  <c r="G25" i="10" s="1"/>
  <c r="AE183" i="22"/>
  <c r="AP183" i="22"/>
  <c r="AE146" i="22"/>
  <c r="AP146" i="22"/>
  <c r="U148" i="10" s="1"/>
  <c r="AF71" i="22"/>
  <c r="AP71" i="22"/>
  <c r="AF140" i="22"/>
  <c r="AO140" i="22"/>
  <c r="AE150" i="22"/>
  <c r="AP150" i="22"/>
  <c r="Q54" i="18"/>
  <c r="Q240" i="18"/>
  <c r="AF216" i="22"/>
  <c r="AP216" i="22"/>
  <c r="AE91" i="22"/>
  <c r="AF272" i="22"/>
  <c r="AP272" i="22"/>
  <c r="AF12" i="22"/>
  <c r="AF199" i="22"/>
  <c r="AP199" i="22"/>
  <c r="U201" i="10" s="1"/>
  <c r="AF292" i="22"/>
  <c r="AP292" i="22"/>
  <c r="AE27" i="22"/>
  <c r="AP27" i="22"/>
  <c r="U30" i="10" s="1"/>
  <c r="AF197" i="22"/>
  <c r="AP197" i="22"/>
  <c r="AF178" i="22"/>
  <c r="AP178" i="22"/>
  <c r="AF153" i="22"/>
  <c r="AP153" i="22"/>
  <c r="U155" i="10" s="1"/>
  <c r="AE87" i="22"/>
  <c r="AO87" i="22"/>
  <c r="Q233" i="18"/>
  <c r="AE223" i="22"/>
  <c r="F225" i="9" s="1"/>
  <c r="Q226" i="18"/>
  <c r="Q268" i="18"/>
  <c r="AE295" i="22"/>
  <c r="AP295" i="22"/>
  <c r="AF37" i="22"/>
  <c r="AP37" i="22"/>
  <c r="Q22" i="18"/>
  <c r="Q297" i="18"/>
  <c r="AE134" i="22"/>
  <c r="AP134" i="22"/>
  <c r="Q176" i="18"/>
  <c r="Q173" i="18"/>
  <c r="Q200" i="18"/>
  <c r="AE220" i="22"/>
  <c r="F222" i="9" s="1"/>
  <c r="AP220" i="22"/>
  <c r="AF53" i="22"/>
  <c r="AE21" i="22"/>
  <c r="AP21" i="22"/>
  <c r="U24" i="10" s="1"/>
  <c r="AF79" i="22"/>
  <c r="AP79" i="22"/>
  <c r="AE199" i="22"/>
  <c r="AO199" i="22"/>
  <c r="T201" i="10" s="1"/>
  <c r="F201" i="10" s="1"/>
  <c r="AF132" i="22"/>
  <c r="AP132" i="22"/>
  <c r="Q276" i="18"/>
  <c r="AF283" i="22"/>
  <c r="AP283" i="22"/>
  <c r="U285" i="10" s="1"/>
  <c r="AF231" i="22"/>
  <c r="L233" i="9" s="1"/>
  <c r="M233" i="9" s="1"/>
  <c r="AP231" i="22"/>
  <c r="U233" i="10" s="1"/>
  <c r="AF271" i="22"/>
  <c r="AP271" i="22"/>
  <c r="AF242" i="22"/>
  <c r="L244" i="9" s="1"/>
  <c r="M244" i="9" s="1"/>
  <c r="AO242" i="22"/>
  <c r="T244" i="10" s="1"/>
  <c r="AF228" i="22"/>
  <c r="L230" i="9" s="1"/>
  <c r="M230" i="9" s="1"/>
  <c r="AO228" i="22"/>
  <c r="AF73" i="22"/>
  <c r="AO73" i="22"/>
  <c r="AF276" i="22"/>
  <c r="AP276" i="22"/>
  <c r="U278" i="10" s="1"/>
  <c r="AF253" i="22"/>
  <c r="L255" i="9" s="1"/>
  <c r="M255" i="9" s="1"/>
  <c r="AP253" i="22"/>
  <c r="AF30" i="22"/>
  <c r="AP30" i="22"/>
  <c r="U33" i="10" s="1"/>
  <c r="AF188" i="22"/>
  <c r="AP188" i="22"/>
  <c r="U191" i="10" s="1"/>
  <c r="AF42" i="22"/>
  <c r="AF198" i="22"/>
  <c r="AF235" i="22"/>
  <c r="L237" i="9" s="1"/>
  <c r="M237" i="9" s="1"/>
  <c r="AE248" i="22"/>
  <c r="AF287" i="22"/>
  <c r="AE61" i="22"/>
  <c r="AF226" i="22"/>
  <c r="AF106" i="22"/>
  <c r="AF258" i="22"/>
  <c r="AE52" i="22"/>
  <c r="AE195" i="22"/>
  <c r="F198" i="9" s="1"/>
  <c r="G198" i="9" s="1"/>
  <c r="AE178" i="22"/>
  <c r="AE167" i="22"/>
  <c r="AE216" i="22"/>
  <c r="AE97" i="22"/>
  <c r="AE260" i="22"/>
  <c r="F262" i="9" s="1"/>
  <c r="AF135" i="22"/>
  <c r="AF234" i="22"/>
  <c r="L236" i="9" s="1"/>
  <c r="M236" i="9" s="1"/>
  <c r="AF40" i="22"/>
  <c r="AF51" i="22"/>
  <c r="AE108" i="22"/>
  <c r="F112" i="9" s="1"/>
  <c r="AF47" i="22"/>
  <c r="AF213" i="22"/>
  <c r="AE184" i="22"/>
  <c r="AF301" i="22"/>
  <c r="AF60" i="22"/>
  <c r="AE289" i="22"/>
  <c r="AE109" i="22"/>
  <c r="Q32" i="18"/>
  <c r="Q143" i="18"/>
  <c r="AF125" i="22"/>
  <c r="AE303" i="22"/>
  <c r="AF89" i="22"/>
  <c r="AF14" i="22"/>
  <c r="L16" i="9" s="1"/>
  <c r="M16" i="9" s="1"/>
  <c r="AF214" i="22"/>
  <c r="AE129" i="22"/>
  <c r="Q253" i="18"/>
  <c r="AE155" i="22"/>
  <c r="AE207" i="22"/>
  <c r="F209" i="9" s="1"/>
  <c r="AF154" i="22"/>
  <c r="AF176" i="22"/>
  <c r="AF85" i="22"/>
  <c r="AE244" i="22"/>
  <c r="F246" i="9" s="1"/>
  <c r="AE73" i="22"/>
  <c r="AE149" i="22"/>
  <c r="AE12" i="22"/>
  <c r="F14" i="9" s="1"/>
  <c r="AF75" i="22"/>
  <c r="AF275" i="22"/>
  <c r="AE188" i="22"/>
  <c r="AE120" i="22"/>
  <c r="AE47" i="22"/>
  <c r="AF121" i="22"/>
  <c r="Q198" i="18"/>
  <c r="AE302" i="22"/>
  <c r="AE42" i="22"/>
  <c r="AE272" i="22"/>
  <c r="AF304" i="22"/>
  <c r="AF96" i="22"/>
  <c r="AE136" i="22"/>
  <c r="AF108" i="22"/>
  <c r="L112" i="9" s="1"/>
  <c r="M112" i="9" s="1"/>
  <c r="AE76" i="22"/>
  <c r="AE204" i="22"/>
  <c r="F206" i="9" s="1"/>
  <c r="AE292" i="22"/>
  <c r="Q19" i="18"/>
  <c r="Q248" i="18"/>
  <c r="Q204" i="18"/>
  <c r="AE198" i="22"/>
  <c r="AE162" i="22"/>
  <c r="AE99" i="22"/>
  <c r="AF48" i="22"/>
  <c r="AE34" i="22"/>
  <c r="Q11" i="18"/>
  <c r="Q123" i="18"/>
  <c r="Q286" i="18"/>
  <c r="Q270" i="18"/>
  <c r="Q231" i="18"/>
  <c r="AE180" i="22"/>
  <c r="AF72" i="22"/>
  <c r="AF56" i="22"/>
  <c r="AE285" i="22"/>
  <c r="F287" i="9" s="1"/>
  <c r="AE115" i="22"/>
  <c r="AE26" i="22"/>
  <c r="AE67" i="22"/>
  <c r="AE36" i="22"/>
  <c r="AE243" i="22"/>
  <c r="AF243" i="22"/>
  <c r="Q8" i="18"/>
  <c r="AF18" i="22"/>
  <c r="AF109" i="22"/>
  <c r="L111" i="9" s="1"/>
  <c r="M111" i="9" s="1"/>
  <c r="AF146" i="22"/>
  <c r="AF261" i="22"/>
  <c r="L263" i="9" s="1"/>
  <c r="M263" i="9" s="1"/>
  <c r="AE213" i="22"/>
  <c r="AE143" i="22"/>
  <c r="Q44" i="18"/>
  <c r="Q87" i="18"/>
  <c r="Q95" i="18"/>
  <c r="AE90" i="22"/>
  <c r="AF236" i="22"/>
  <c r="L238" i="9" s="1"/>
  <c r="M238" i="9" s="1"/>
  <c r="AE152" i="22"/>
  <c r="AF284" i="22"/>
  <c r="AF41" i="22"/>
  <c r="Q237" i="18"/>
  <c r="Q211" i="18"/>
  <c r="Q267" i="18"/>
  <c r="Q94" i="18"/>
  <c r="Q46" i="18"/>
  <c r="Q23" i="18"/>
  <c r="Q60" i="18"/>
  <c r="AE161" i="22"/>
  <c r="AE268" i="22"/>
  <c r="F270" i="9" s="1"/>
  <c r="AE57" i="22"/>
  <c r="AE212" i="22"/>
  <c r="AF27" i="22"/>
  <c r="AF210" i="22"/>
  <c r="AF238" i="22"/>
  <c r="L240" i="9" s="1"/>
  <c r="M240" i="9" s="1"/>
  <c r="Q118" i="18"/>
  <c r="Q210" i="18"/>
  <c r="AE247" i="22"/>
  <c r="AE122" i="22"/>
  <c r="F125" i="9" s="1"/>
  <c r="AF280" i="22"/>
  <c r="AF217" i="22"/>
  <c r="Q122" i="18"/>
  <c r="Q207" i="18"/>
  <c r="Q115" i="18"/>
  <c r="AE249" i="22"/>
  <c r="F251" i="9" s="1"/>
  <c r="AE287" i="22"/>
  <c r="AF19" i="22"/>
  <c r="AF100" i="22"/>
  <c r="AE16" i="22"/>
  <c r="AE232" i="22"/>
  <c r="F234" i="9" s="1"/>
  <c r="AE164" i="22"/>
  <c r="AE104" i="22"/>
  <c r="F107" i="9" s="1"/>
  <c r="G107" i="9" s="1"/>
  <c r="AF167" i="22"/>
  <c r="Q301" i="18"/>
  <c r="Q66" i="18"/>
  <c r="Q9" i="18"/>
  <c r="AE105" i="22"/>
  <c r="AE263" i="22"/>
  <c r="F265" i="9" s="1"/>
  <c r="AE56" i="22"/>
  <c r="AF257" i="22"/>
  <c r="L259" i="9" s="1"/>
  <c r="M259" i="9" s="1"/>
  <c r="AF122" i="22"/>
  <c r="AF254" i="22"/>
  <c r="AE107" i="22"/>
  <c r="AE39" i="22"/>
  <c r="AF115" i="22"/>
  <c r="AE30" i="22"/>
  <c r="F33" i="9" s="1"/>
  <c r="AE15" i="22"/>
  <c r="F17" i="9" s="1"/>
  <c r="AE126" i="22"/>
  <c r="Q282" i="18"/>
  <c r="Q274" i="18"/>
  <c r="Q246" i="18"/>
  <c r="Q209" i="18"/>
  <c r="AF232" i="22"/>
  <c r="L234" i="9" s="1"/>
  <c r="M234" i="9" s="1"/>
  <c r="AF110" i="22"/>
  <c r="L113" i="9" s="1"/>
  <c r="M113" i="9" s="1"/>
  <c r="AE147" i="22"/>
  <c r="AE187" i="22"/>
  <c r="AF49" i="22"/>
  <c r="AE231" i="22"/>
  <c r="F233" i="9" s="1"/>
  <c r="AF171" i="22"/>
  <c r="Q261" i="18"/>
  <c r="Q78" i="18"/>
  <c r="Q185" i="18"/>
  <c r="Q133" i="18"/>
  <c r="AE46" i="22"/>
  <c r="AE60" i="22"/>
  <c r="AF278" i="22"/>
  <c r="AF112" i="22"/>
  <c r="AE278" i="22"/>
  <c r="AE89" i="22"/>
  <c r="AF59" i="22"/>
  <c r="AE234" i="22"/>
  <c r="F236" i="9" s="1"/>
  <c r="AE221" i="22"/>
  <c r="F223" i="9" s="1"/>
  <c r="AF149" i="22"/>
  <c r="AF177" i="22"/>
  <c r="AE41" i="22"/>
  <c r="AE80" i="22"/>
  <c r="AE43" i="22"/>
  <c r="AE191" i="22"/>
  <c r="AF191" i="22"/>
  <c r="L194" i="9" s="1"/>
  <c r="M194" i="9" s="1"/>
  <c r="Q55" i="18"/>
  <c r="Q34" i="18"/>
  <c r="Q146" i="18"/>
  <c r="Q242" i="18"/>
  <c r="Q227" i="18"/>
  <c r="Q124" i="18"/>
  <c r="Q29" i="18"/>
  <c r="AF270" i="22"/>
  <c r="L272" i="9" s="1"/>
  <c r="M272" i="9" s="1"/>
  <c r="AF44" i="22"/>
  <c r="AF152" i="22"/>
  <c r="AE284" i="22"/>
  <c r="AE242" i="22"/>
  <c r="F244" i="9" s="1"/>
  <c r="AE280" i="22"/>
  <c r="AE94" i="22"/>
  <c r="AF52" i="22"/>
  <c r="AF277" i="22"/>
  <c r="AF220" i="22"/>
  <c r="AF286" i="22"/>
  <c r="AE174" i="22"/>
  <c r="AE170" i="22"/>
  <c r="AE151" i="22"/>
  <c r="AE81" i="22"/>
  <c r="Q190" i="18"/>
  <c r="Q152" i="18"/>
  <c r="Q100" i="18"/>
  <c r="Q249" i="18"/>
  <c r="Q12" i="18"/>
  <c r="Q260" i="18"/>
  <c r="AE140" i="22"/>
  <c r="AF54" i="22"/>
  <c r="AF204" i="22"/>
  <c r="L206" i="9" s="1"/>
  <c r="M206" i="9" s="1"/>
  <c r="AF120" i="22"/>
  <c r="AE24" i="22"/>
  <c r="AF67" i="22"/>
  <c r="AE291" i="22"/>
  <c r="AF306" i="22"/>
  <c r="AF246" i="22"/>
  <c r="L248" i="9" s="1"/>
  <c r="M248" i="9" s="1"/>
  <c r="AE237" i="22"/>
  <c r="F239" i="9" s="1"/>
  <c r="AF141" i="22"/>
  <c r="L143" i="9" s="1"/>
  <c r="M143" i="9" s="1"/>
  <c r="Q103" i="18"/>
  <c r="Q169" i="18"/>
  <c r="Q228" i="18"/>
  <c r="Q278" i="18"/>
  <c r="Q263" i="18"/>
  <c r="Q251" i="18"/>
  <c r="AE290" i="22"/>
  <c r="AF302" i="22"/>
  <c r="AE53" i="22"/>
  <c r="AF117" i="22"/>
  <c r="AF211" i="22"/>
  <c r="AE300" i="22"/>
  <c r="AE78" i="22"/>
  <c r="F81" i="9" s="1"/>
  <c r="AF130" i="22"/>
  <c r="AE235" i="22"/>
  <c r="F237" i="9" s="1"/>
  <c r="AE201" i="22"/>
  <c r="F203" i="9" s="1"/>
  <c r="AF143" i="22"/>
  <c r="AE79" i="22"/>
  <c r="AE29" i="22"/>
  <c r="AF84" i="22"/>
  <c r="AF61" i="22"/>
  <c r="AE211" i="22"/>
  <c r="F210" i="9" s="1"/>
  <c r="Q79" i="18"/>
  <c r="Q148" i="18"/>
  <c r="AF285" i="22"/>
  <c r="AF174" i="22"/>
  <c r="AE240" i="22"/>
  <c r="F242" i="9" s="1"/>
  <c r="AF148" i="22"/>
  <c r="Q50" i="18"/>
  <c r="AF21" i="22"/>
  <c r="AF273" i="22"/>
  <c r="L275" i="9" s="1"/>
  <c r="M275" i="9" s="1"/>
  <c r="AE230" i="22"/>
  <c r="F232" i="9" s="1"/>
  <c r="AE125" i="22"/>
  <c r="AE262" i="22"/>
  <c r="F264" i="9" s="1"/>
  <c r="AE276" i="22"/>
  <c r="AF124" i="22"/>
  <c r="AE298" i="22"/>
  <c r="AF206" i="22"/>
  <c r="L208" i="9" s="1"/>
  <c r="M208" i="9" s="1"/>
  <c r="AE273" i="22"/>
  <c r="F275" i="9" s="1"/>
  <c r="AF263" i="22"/>
  <c r="L265" i="9" s="1"/>
  <c r="M265" i="9" s="1"/>
  <c r="AE132" i="22"/>
  <c r="Q106" i="18"/>
  <c r="Q21" i="18"/>
  <c r="Q216" i="18"/>
  <c r="Q172" i="18"/>
  <c r="Q213" i="18"/>
  <c r="Q215" i="18"/>
  <c r="Q102" i="18"/>
  <c r="Q265" i="18"/>
  <c r="Q63" i="18"/>
  <c r="Q269" i="18"/>
  <c r="Q105" i="18"/>
  <c r="AF295" i="22"/>
  <c r="AE72" i="22"/>
  <c r="AF65" i="22"/>
  <c r="AE85" i="22"/>
  <c r="AE159" i="22"/>
  <c r="AF58" i="22"/>
  <c r="AF229" i="22"/>
  <c r="L231" i="9" s="1"/>
  <c r="M231" i="9" s="1"/>
  <c r="AF88" i="22"/>
  <c r="AE110" i="22"/>
  <c r="F113" i="9" s="1"/>
  <c r="AE255" i="22"/>
  <c r="F257" i="9" s="1"/>
  <c r="AE214" i="22"/>
  <c r="AE59" i="22"/>
  <c r="AF218" i="22"/>
  <c r="AF249" i="22"/>
  <c r="L251" i="9" s="1"/>
  <c r="M251" i="9" s="1"/>
  <c r="AE18" i="22"/>
  <c r="AE175" i="22"/>
  <c r="AE253" i="22"/>
  <c r="F255" i="9" s="1"/>
  <c r="AF160" i="22"/>
  <c r="Q35" i="18"/>
  <c r="AF267" i="22"/>
  <c r="L269" i="9" s="1"/>
  <c r="M269" i="9" s="1"/>
  <c r="AF305" i="22"/>
  <c r="AE71" i="22"/>
  <c r="AF55" i="22"/>
  <c r="AE25" i="22"/>
  <c r="AE176" i="22"/>
  <c r="AF209" i="22"/>
  <c r="AF144" i="22"/>
  <c r="AF81" i="22"/>
  <c r="AF145" i="22"/>
  <c r="Q181" i="18"/>
  <c r="Q288" i="18"/>
  <c r="Q230" i="18"/>
  <c r="AE200" i="22"/>
  <c r="F202" i="9" s="1"/>
  <c r="AE55" i="22"/>
  <c r="AE86" i="22"/>
  <c r="AF147" i="22"/>
  <c r="AE154" i="22"/>
  <c r="AE205" i="22"/>
  <c r="F207" i="9" s="1"/>
  <c r="AE88" i="22"/>
  <c r="AE70" i="22"/>
  <c r="AF290" i="22"/>
  <c r="AE38" i="22"/>
  <c r="Q294" i="18"/>
  <c r="AE40" i="22"/>
  <c r="Q308" i="18"/>
  <c r="Q62" i="18"/>
  <c r="AE218" i="22"/>
  <c r="AE141" i="22"/>
  <c r="AF46" i="22"/>
  <c r="AF182" i="22"/>
  <c r="AF281" i="22"/>
  <c r="AE281" i="22"/>
  <c r="AE49" i="22"/>
  <c r="AF15" i="22"/>
  <c r="L17" i="9" s="1"/>
  <c r="M17" i="9" s="1"/>
  <c r="AF150" i="22"/>
  <c r="AE271" i="22"/>
  <c r="F273" i="9" s="1"/>
  <c r="AF16" i="22"/>
  <c r="AF161" i="22"/>
  <c r="Q141" i="18"/>
  <c r="AF64" i="22"/>
  <c r="F320" i="22"/>
  <c r="AF11" i="22"/>
  <c r="L13" i="9" s="1"/>
  <c r="M13" i="9" s="1"/>
  <c r="AE11" i="22"/>
  <c r="F13" i="9" s="1"/>
  <c r="Q52" i="18"/>
  <c r="Q24" i="18"/>
  <c r="AF268" i="22"/>
  <c r="L270" i="9" s="1"/>
  <c r="M270" i="9" s="1"/>
  <c r="AF212" i="22"/>
  <c r="AE112" i="22"/>
  <c r="AF260" i="22"/>
  <c r="L262" i="9" s="1"/>
  <c r="M262" i="9" s="1"/>
  <c r="AE135" i="22"/>
  <c r="AE228" i="22"/>
  <c r="AE14" i="22"/>
  <c r="F16" i="9" s="1"/>
  <c r="AE168" i="22"/>
  <c r="AE282" i="22"/>
  <c r="F284" i="9" s="1"/>
  <c r="AF282" i="22"/>
  <c r="L284" i="9" s="1"/>
  <c r="M284" i="9" s="1"/>
  <c r="AE238" i="22"/>
  <c r="F240" i="9" s="1"/>
  <c r="AF298" i="22"/>
  <c r="AE144" i="22"/>
  <c r="F146" i="9" s="1"/>
  <c r="AE306" i="22"/>
  <c r="Q68" i="18"/>
  <c r="Q73" i="18"/>
  <c r="Q16" i="18"/>
  <c r="Q165" i="18"/>
  <c r="AE283" i="22"/>
  <c r="AE128" i="22"/>
  <c r="AF291" i="22"/>
  <c r="G222" i="22"/>
  <c r="Q219" i="18"/>
  <c r="AE186" i="22"/>
  <c r="AE171" i="22"/>
  <c r="G208" i="22"/>
  <c r="AP208" i="22" s="1"/>
  <c r="Q206" i="18"/>
  <c r="AF116" i="22"/>
  <c r="AF266" i="22"/>
  <c r="L268" i="9" s="1"/>
  <c r="M268" i="9" s="1"/>
  <c r="AE266" i="22"/>
  <c r="F268" i="9" s="1"/>
  <c r="AF26" i="22"/>
  <c r="AE233" i="22"/>
  <c r="F235" i="9" s="1"/>
  <c r="AF99" i="22"/>
  <c r="AE58" i="22"/>
  <c r="AF24" i="22"/>
  <c r="AE153" i="22"/>
  <c r="AF151" i="22"/>
  <c r="AE297" i="22"/>
  <c r="Q180" i="18"/>
  <c r="Q280" i="18"/>
  <c r="Q98" i="18"/>
  <c r="G225" i="22"/>
  <c r="Q222" i="18"/>
  <c r="AF203" i="22"/>
  <c r="L205" i="9" s="1"/>
  <c r="M205" i="9" s="1"/>
  <c r="AE264" i="22"/>
  <c r="F266" i="9" s="1"/>
  <c r="AF107" i="22"/>
  <c r="AE185" i="22"/>
  <c r="AF185" i="22"/>
  <c r="AE93" i="22"/>
  <c r="AF93" i="22"/>
  <c r="AE106" i="22"/>
  <c r="AF114" i="22"/>
  <c r="AE310" i="22"/>
  <c r="Q292" i="18"/>
  <c r="Q295" i="18"/>
  <c r="Q69" i="18"/>
  <c r="Q53" i="18"/>
  <c r="Q47" i="18"/>
  <c r="AE116" i="22"/>
  <c r="AF126" i="22"/>
  <c r="AF34" i="22"/>
  <c r="AF248" i="22"/>
  <c r="L250" i="9" s="1"/>
  <c r="M250" i="9" s="1"/>
  <c r="AE48" i="22"/>
  <c r="AE23" i="22"/>
  <c r="AF36" i="22"/>
  <c r="AF90" i="22"/>
  <c r="AF221" i="22"/>
  <c r="L223" i="9" s="1"/>
  <c r="M223" i="9" s="1"/>
  <c r="AF183" i="22"/>
  <c r="AE219" i="22"/>
  <c r="F221" i="9" s="1"/>
  <c r="AF172" i="22"/>
  <c r="AE44" i="22"/>
  <c r="AE179" i="22"/>
  <c r="Q96" i="18"/>
  <c r="Q171" i="18"/>
  <c r="Q114" i="18"/>
  <c r="Q277" i="18"/>
  <c r="Q168" i="18"/>
  <c r="Q245" i="18"/>
  <c r="AF157" i="22"/>
  <c r="AF289" i="22"/>
  <c r="AF25" i="22"/>
  <c r="AF244" i="22"/>
  <c r="L246" i="9" s="1"/>
  <c r="M246" i="9" s="1"/>
  <c r="AF252" i="22"/>
  <c r="L254" i="9" s="1"/>
  <c r="M254" i="9" s="1"/>
  <c r="AE102" i="22"/>
  <c r="Q132" i="18"/>
  <c r="G33" i="22"/>
  <c r="Q31" i="18"/>
  <c r="Q217" i="18"/>
  <c r="Q235" i="18"/>
  <c r="Q58" i="18"/>
  <c r="Q39" i="18"/>
  <c r="Q159" i="18"/>
  <c r="AF256" i="22"/>
  <c r="L258" i="9" s="1"/>
  <c r="M258" i="9" s="1"/>
  <c r="AE165" i="22"/>
  <c r="AF86" i="22"/>
  <c r="AF20" i="22"/>
  <c r="AE20" i="22"/>
  <c r="AF173" i="22"/>
  <c r="AF179" i="22"/>
  <c r="AE130" i="22"/>
  <c r="AF68" i="22"/>
  <c r="AE68" i="22"/>
  <c r="AF159" i="22"/>
  <c r="AE246" i="22"/>
  <c r="F248" i="9" s="1"/>
  <c r="AF113" i="22"/>
  <c r="AF134" i="22"/>
  <c r="Q56" i="18"/>
  <c r="Q38" i="18"/>
  <c r="Q84" i="18"/>
  <c r="Q287" i="18"/>
  <c r="AE258" i="22"/>
  <c r="F260" i="9" s="1"/>
  <c r="AE270" i="22"/>
  <c r="F272" i="9" s="1"/>
  <c r="AF200" i="22"/>
  <c r="L202" i="9" s="1"/>
  <c r="M202" i="9" s="1"/>
  <c r="AE256" i="22"/>
  <c r="F258" i="9" s="1"/>
  <c r="AE251" i="22"/>
  <c r="F253" i="9" s="1"/>
  <c r="AF155" i="22"/>
  <c r="AF136" i="22"/>
  <c r="AF201" i="22"/>
  <c r="L203" i="9" s="1"/>
  <c r="M203" i="9" s="1"/>
  <c r="AE209" i="22"/>
  <c r="AE69" i="22"/>
  <c r="AF31" i="22"/>
  <c r="AE31" i="22"/>
  <c r="AF264" i="22"/>
  <c r="L266" i="9" s="1"/>
  <c r="M266" i="9" s="1"/>
  <c r="Q177" i="18"/>
  <c r="AE169" i="22"/>
  <c r="F172" i="9" s="1"/>
  <c r="AF98" i="22"/>
  <c r="L101" i="9" s="1"/>
  <c r="M101" i="9" s="1"/>
  <c r="Q108" i="18"/>
  <c r="Q86" i="18"/>
  <c r="Q254" i="18"/>
  <c r="Q264" i="18"/>
  <c r="Q182" i="18"/>
  <c r="Q197" i="18"/>
  <c r="Q205" i="18"/>
  <c r="AE269" i="22"/>
  <c r="F271" i="9" s="1"/>
  <c r="G224" i="22"/>
  <c r="Q221" i="18"/>
  <c r="AE28" i="22"/>
  <c r="AF13" i="22"/>
  <c r="L15" i="9" s="1"/>
  <c r="M15" i="9" s="1"/>
  <c r="AE13" i="22"/>
  <c r="AE202" i="22"/>
  <c r="F204" i="9" s="1"/>
  <c r="AE299" i="22"/>
  <c r="F301" i="9" s="1"/>
  <c r="G146" i="10"/>
  <c r="G170" i="10"/>
  <c r="G110" i="10"/>
  <c r="G267" i="9"/>
  <c r="W267" i="10" s="1"/>
  <c r="G61" i="10"/>
  <c r="L210" i="9"/>
  <c r="M210" i="9" s="1"/>
  <c r="G70" i="10"/>
  <c r="E126" i="10"/>
  <c r="E32" i="10"/>
  <c r="E245" i="10"/>
  <c r="G245" i="10"/>
  <c r="E81" i="10"/>
  <c r="E209" i="10"/>
  <c r="G209" i="10"/>
  <c r="E76" i="10"/>
  <c r="G76" i="10"/>
  <c r="E181" i="10"/>
  <c r="E132" i="10"/>
  <c r="E47" i="10"/>
  <c r="E174" i="10"/>
  <c r="G174" i="10"/>
  <c r="E215" i="10"/>
  <c r="G215" i="10"/>
  <c r="E194" i="10"/>
  <c r="E213" i="10"/>
  <c r="G213" i="10"/>
  <c r="E119" i="10"/>
  <c r="G119" i="10"/>
  <c r="E152" i="10"/>
  <c r="E78" i="10"/>
  <c r="E118" i="10"/>
  <c r="G118" i="10"/>
  <c r="E38" i="10"/>
  <c r="G290" i="10"/>
  <c r="E58" i="10"/>
  <c r="G58" i="10"/>
  <c r="E59" i="10"/>
  <c r="E214" i="10"/>
  <c r="G214" i="10"/>
  <c r="E270" i="10"/>
  <c r="G270" i="10"/>
  <c r="E309" i="10"/>
  <c r="E137" i="10"/>
  <c r="E219" i="10"/>
  <c r="E21" i="10"/>
  <c r="E150" i="10"/>
  <c r="E305" i="10"/>
  <c r="E42" i="10"/>
  <c r="E164" i="10"/>
  <c r="E125" i="10"/>
  <c r="G125" i="10"/>
  <c r="E229" i="10"/>
  <c r="E284" i="10"/>
  <c r="G284" i="10"/>
  <c r="E71" i="10"/>
  <c r="G71" i="10"/>
  <c r="E124" i="10"/>
  <c r="G124" i="10"/>
  <c r="E34" i="10"/>
  <c r="E62" i="10"/>
  <c r="G62" i="10"/>
  <c r="E35" i="10"/>
  <c r="E176" i="10"/>
  <c r="E275" i="10"/>
  <c r="G275" i="10"/>
  <c r="E67" i="10"/>
  <c r="E262" i="10"/>
  <c r="E16" i="10"/>
  <c r="G16" i="10"/>
  <c r="E311" i="10"/>
  <c r="E120" i="10"/>
  <c r="G120" i="10"/>
  <c r="E186" i="10"/>
  <c r="E230" i="10"/>
  <c r="E279" i="10"/>
  <c r="E190" i="10"/>
  <c r="G190" i="10"/>
  <c r="E115" i="10"/>
  <c r="E93" i="10"/>
  <c r="G93" i="10"/>
  <c r="E163" i="10"/>
  <c r="G163" i="10"/>
  <c r="E286" i="10"/>
  <c r="G286" i="10"/>
  <c r="E153" i="10"/>
  <c r="E144" i="10"/>
  <c r="G144" i="10"/>
  <c r="E53" i="10"/>
  <c r="E258" i="10"/>
  <c r="G258" i="10"/>
  <c r="E303" i="10"/>
  <c r="E196" i="10"/>
  <c r="E37" i="10"/>
  <c r="G37" i="10"/>
  <c r="E254" i="10"/>
  <c r="E252" i="10"/>
  <c r="E98" i="10"/>
  <c r="G98" i="10"/>
  <c r="E187" i="10"/>
  <c r="G187" i="10"/>
  <c r="E268" i="10"/>
  <c r="G268" i="10"/>
  <c r="E68" i="10"/>
  <c r="G68" i="10"/>
  <c r="E133" i="10"/>
  <c r="G133" i="10"/>
  <c r="E56" i="10"/>
  <c r="E95" i="10"/>
  <c r="E203" i="10"/>
  <c r="G203" i="10"/>
  <c r="E94" i="10"/>
  <c r="E217" i="10"/>
  <c r="G217" i="10"/>
  <c r="E63" i="10"/>
  <c r="E239" i="10"/>
  <c r="E251" i="10"/>
  <c r="G251" i="10"/>
  <c r="E193" i="10"/>
  <c r="E51" i="10"/>
  <c r="E90" i="10"/>
  <c r="E257" i="10"/>
  <c r="E100" i="31" s="1"/>
  <c r="E260" i="10"/>
  <c r="G260" i="10"/>
  <c r="E232" i="10"/>
  <c r="G232" i="10"/>
  <c r="E40" i="10"/>
  <c r="E146" i="10"/>
  <c r="E145" i="10"/>
  <c r="G145" i="10"/>
  <c r="E111" i="10"/>
  <c r="E80" i="10"/>
  <c r="E195" i="10"/>
  <c r="G195" i="10"/>
  <c r="E147" i="10"/>
  <c r="E202" i="10"/>
  <c r="E173" i="10"/>
  <c r="E27" i="10"/>
  <c r="G27" i="10"/>
  <c r="E277" i="10"/>
  <c r="E136" i="10"/>
  <c r="G136" i="10"/>
  <c r="E85" i="10"/>
  <c r="G85" i="10"/>
  <c r="E158" i="10"/>
  <c r="G158" i="10"/>
  <c r="E142" i="10"/>
  <c r="G142" i="10"/>
  <c r="E91" i="10"/>
  <c r="E156" i="10"/>
  <c r="G156" i="10"/>
  <c r="E162" i="10"/>
  <c r="G162" i="10"/>
  <c r="E138" i="10"/>
  <c r="G138" i="10"/>
  <c r="E131" i="10"/>
  <c r="E233" i="10"/>
  <c r="G233" i="10"/>
  <c r="E271" i="10"/>
  <c r="G271" i="10"/>
  <c r="E135" i="10"/>
  <c r="E103" i="10"/>
  <c r="G103" i="10"/>
  <c r="E149" i="10"/>
  <c r="G149" i="10"/>
  <c r="E108" i="10"/>
  <c r="E45" i="10"/>
  <c r="G45" i="10"/>
  <c r="E228" i="10"/>
  <c r="E259" i="10"/>
  <c r="E114" i="10"/>
  <c r="G114" i="10"/>
  <c r="E312" i="10"/>
  <c r="G312" i="10"/>
  <c r="E121" i="10"/>
  <c r="E33" i="10"/>
  <c r="G33" i="10"/>
  <c r="E175" i="10"/>
  <c r="E64" i="10"/>
  <c r="G64" i="10"/>
  <c r="E168" i="10"/>
  <c r="E18" i="10"/>
  <c r="E278" i="10"/>
  <c r="E128" i="10"/>
  <c r="G128" i="10"/>
  <c r="E48" i="10"/>
  <c r="G48" i="10"/>
  <c r="E250" i="10"/>
  <c r="G250" i="10"/>
  <c r="E61" i="10"/>
  <c r="E52" i="10"/>
  <c r="G52" i="10"/>
  <c r="E84" i="10"/>
  <c r="G84" i="10"/>
  <c r="E184" i="10"/>
  <c r="E110" i="10"/>
  <c r="E204" i="10"/>
  <c r="G204" i="10"/>
  <c r="E180" i="10"/>
  <c r="G180" i="10"/>
  <c r="E49" i="10"/>
  <c r="G49" i="10"/>
  <c r="E225" i="10"/>
  <c r="E122" i="10"/>
  <c r="G122" i="10"/>
  <c r="E109" i="10"/>
  <c r="G109" i="10"/>
  <c r="E22" i="10"/>
  <c r="E23" i="10"/>
  <c r="G23" i="10"/>
  <c r="E70" i="10"/>
  <c r="E55" i="10"/>
  <c r="G55" i="10"/>
  <c r="E77" i="10"/>
  <c r="G77" i="10"/>
  <c r="E157" i="10"/>
  <c r="G157" i="10"/>
  <c r="E100" i="10"/>
  <c r="G100" i="10"/>
  <c r="E249" i="10"/>
  <c r="G249" i="10"/>
  <c r="E134" i="10"/>
  <c r="G134" i="10"/>
  <c r="E235" i="10"/>
  <c r="E117" i="10"/>
  <c r="E191" i="10"/>
  <c r="G191" i="10"/>
  <c r="E50" i="10"/>
  <c r="G50" i="10"/>
  <c r="E19" i="10"/>
  <c r="G19" i="10"/>
  <c r="E140" i="10"/>
  <c r="G140" i="10"/>
  <c r="E243" i="10"/>
  <c r="G243" i="10"/>
  <c r="E263" i="10"/>
  <c r="G263" i="10"/>
  <c r="E169" i="10"/>
  <c r="G169" i="10"/>
  <c r="E26" i="10"/>
  <c r="E171" i="10"/>
  <c r="E105" i="10"/>
  <c r="E265" i="10"/>
  <c r="G265" i="10"/>
  <c r="E75" i="10"/>
  <c r="G75" i="10"/>
  <c r="E44" i="10"/>
  <c r="G44" i="10"/>
  <c r="E205" i="10"/>
  <c r="G205" i="10"/>
  <c r="E192" i="10"/>
  <c r="G192" i="10"/>
  <c r="E28" i="10"/>
  <c r="G28" i="10"/>
  <c r="E101" i="10"/>
  <c r="G101" i="10"/>
  <c r="E112" i="10"/>
  <c r="E166" i="10"/>
  <c r="G166" i="10"/>
  <c r="E17" i="10"/>
  <c r="G17" i="10"/>
  <c r="E283" i="10"/>
  <c r="G283" i="10"/>
  <c r="E188" i="10"/>
  <c r="G188" i="10"/>
  <c r="E14" i="10"/>
  <c r="G14" i="10"/>
  <c r="E294" i="10"/>
  <c r="E116" i="10"/>
  <c r="E167" i="10"/>
  <c r="G167" i="10"/>
  <c r="E79" i="10"/>
  <c r="E46" i="10"/>
  <c r="E289" i="10"/>
  <c r="G289" i="10"/>
  <c r="E99" i="10"/>
  <c r="G99" i="10"/>
  <c r="E154" i="10"/>
  <c r="G154" i="10"/>
  <c r="E247" i="10"/>
  <c r="E242" i="10"/>
  <c r="E83" i="10"/>
  <c r="G83" i="10"/>
  <c r="E102" i="10"/>
  <c r="G102" i="10"/>
  <c r="E255" i="10"/>
  <c r="E159" i="10"/>
  <c r="G159" i="10"/>
  <c r="E20" i="10"/>
  <c r="G20" i="10"/>
  <c r="E170" i="10"/>
  <c r="E200" i="10"/>
  <c r="E161" i="10"/>
  <c r="G161" i="10"/>
  <c r="E264" i="10"/>
  <c r="E57" i="10"/>
  <c r="E41" i="10"/>
  <c r="E222" i="10"/>
  <c r="E269" i="10"/>
  <c r="G269" i="10"/>
  <c r="E288" i="10"/>
  <c r="G288" i="10"/>
  <c r="E24" i="10"/>
  <c r="G24" i="10"/>
  <c r="E293" i="10"/>
  <c r="G293" i="10"/>
  <c r="E178" i="10"/>
  <c r="G178" i="10"/>
  <c r="E29" i="10"/>
  <c r="G29" i="10"/>
  <c r="E199" i="10"/>
  <c r="G199" i="10"/>
  <c r="E127" i="10"/>
  <c r="G127" i="10"/>
  <c r="E237" i="10"/>
  <c r="G237" i="10"/>
  <c r="E129" i="10"/>
  <c r="G129" i="10"/>
  <c r="E182" i="10"/>
  <c r="G182" i="10"/>
  <c r="E39" i="10"/>
  <c r="G39" i="10"/>
  <c r="E155" i="10"/>
  <c r="G155" i="10"/>
  <c r="E261" i="10"/>
  <c r="G261" i="10"/>
  <c r="E185" i="10"/>
  <c r="E274" i="10"/>
  <c r="E220" i="10"/>
  <c r="G220" i="10"/>
  <c r="E31" i="10"/>
  <c r="G31" i="10"/>
  <c r="E97" i="10"/>
  <c r="G97" i="10"/>
  <c r="E234" i="10"/>
  <c r="G234" i="10"/>
  <c r="E60" i="10"/>
  <c r="G60" i="10"/>
  <c r="E151" i="10"/>
  <c r="G151" i="10"/>
  <c r="E183" i="10"/>
  <c r="G183" i="10"/>
  <c r="E25" i="10"/>
  <c r="E231" i="10"/>
  <c r="G231" i="10"/>
  <c r="E256" i="10"/>
  <c r="E123" i="10"/>
  <c r="G123" i="10"/>
  <c r="E13" i="10"/>
  <c r="G13" i="10"/>
  <c r="E208" i="10"/>
  <c r="E69" i="10"/>
  <c r="G69" i="10"/>
  <c r="E54" i="10"/>
  <c r="G54" i="10"/>
  <c r="E139" i="10"/>
  <c r="G139" i="10"/>
  <c r="E86" i="10"/>
  <c r="E301" i="10"/>
  <c r="E148" i="10"/>
  <c r="G148" i="10"/>
  <c r="E72" i="10"/>
  <c r="G72" i="10"/>
  <c r="E236" i="10"/>
  <c r="G236" i="10"/>
  <c r="E177" i="10"/>
  <c r="G177" i="10"/>
  <c r="E92" i="10"/>
  <c r="G92" i="10"/>
  <c r="E160" i="10"/>
  <c r="E143" i="10"/>
  <c r="G143" i="10"/>
  <c r="E104" i="10"/>
  <c r="G104" i="10"/>
  <c r="E165" i="10"/>
  <c r="G165" i="10"/>
  <c r="E223" i="10"/>
  <c r="G223" i="10"/>
  <c r="E88" i="10"/>
  <c r="G88" i="10"/>
  <c r="E74" i="10"/>
  <c r="E66" i="10"/>
  <c r="G66" i="10"/>
  <c r="E244" i="10"/>
  <c r="G244" i="10"/>
  <c r="E282" i="10"/>
  <c r="G282" i="10"/>
  <c r="E89" i="10"/>
  <c r="G89" i="10"/>
  <c r="E141" i="10"/>
  <c r="G141" i="10"/>
  <c r="E285" i="10"/>
  <c r="G285" i="10"/>
  <c r="E130" i="10"/>
  <c r="G130" i="10"/>
  <c r="E207" i="10"/>
  <c r="G207" i="10"/>
  <c r="E201" i="10"/>
  <c r="G201" i="10"/>
  <c r="E179" i="10"/>
  <c r="G179" i="10"/>
  <c r="E107" i="10"/>
  <c r="G107" i="10"/>
  <c r="E96" i="10"/>
  <c r="G96" i="10"/>
  <c r="E82" i="10"/>
  <c r="E73" i="10"/>
  <c r="G73" i="10"/>
  <c r="E212" i="10"/>
  <c r="G212" i="10"/>
  <c r="E218" i="10"/>
  <c r="E281" i="10"/>
  <c r="G281" i="10"/>
  <c r="E280" i="10"/>
  <c r="G280" i="10"/>
  <c r="E172" i="10"/>
  <c r="G172" i="10"/>
  <c r="E273" i="10"/>
  <c r="E317" i="10"/>
  <c r="G317" i="10"/>
  <c r="E216" i="10"/>
  <c r="G216" i="10"/>
  <c r="E246" i="10"/>
  <c r="G246" i="10"/>
  <c r="E43" i="10"/>
  <c r="G43" i="10"/>
  <c r="E211" i="10"/>
  <c r="E315" i="10"/>
  <c r="G315" i="10"/>
  <c r="E266" i="10"/>
  <c r="G266" i="10"/>
  <c r="E206" i="10"/>
  <c r="G206" i="10"/>
  <c r="E87" i="10"/>
  <c r="G87" i="10"/>
  <c r="E291" i="10"/>
  <c r="G291" i="10"/>
  <c r="E240" i="10"/>
  <c r="G240" i="10"/>
  <c r="E189" i="10"/>
  <c r="E272" i="10"/>
  <c r="G272" i="10"/>
  <c r="E30" i="10"/>
  <c r="G30" i="10"/>
  <c r="E238" i="10"/>
  <c r="G238" i="10"/>
  <c r="E65" i="10"/>
  <c r="E287" i="10"/>
  <c r="E319" i="10"/>
  <c r="E296" i="10"/>
  <c r="E300" i="10"/>
  <c r="S11" i="10"/>
  <c r="E11" i="10" s="1"/>
  <c r="E298" i="10"/>
  <c r="E295" i="10"/>
  <c r="E302" i="10"/>
  <c r="E304" i="10"/>
  <c r="E310" i="10"/>
  <c r="E316" i="10"/>
  <c r="E299" i="10"/>
  <c r="E297" i="10"/>
  <c r="E292" i="10"/>
  <c r="E306" i="10"/>
  <c r="E314" i="10"/>
  <c r="E307" i="10"/>
  <c r="E308" i="10"/>
  <c r="G318" i="9"/>
  <c r="W318" i="10" s="1"/>
  <c r="X318" i="10" s="1"/>
  <c r="G197" i="9"/>
  <c r="W197" i="10" s="1"/>
  <c r="X197" i="10" s="1"/>
  <c r="F243" i="9"/>
  <c r="F230" i="9"/>
  <c r="F274" i="9"/>
  <c r="L235" i="9"/>
  <c r="M235" i="9" s="1"/>
  <c r="L315" i="9"/>
  <c r="M315" i="9" s="1"/>
  <c r="F277" i="9"/>
  <c r="F201" i="9"/>
  <c r="L274" i="9"/>
  <c r="M274" i="9" s="1"/>
  <c r="L252" i="9"/>
  <c r="M252" i="9" s="1"/>
  <c r="F205" i="9"/>
  <c r="F94" i="9"/>
  <c r="F249" i="9"/>
  <c r="L319" i="9"/>
  <c r="M319" i="9" s="1"/>
  <c r="L209" i="9"/>
  <c r="M209" i="9" s="1"/>
  <c r="F65" i="9"/>
  <c r="L14" i="9"/>
  <c r="M14" i="9" s="1"/>
  <c r="L66" i="9"/>
  <c r="M66" i="9" s="1"/>
  <c r="L65" i="9"/>
  <c r="M65" i="9" s="1"/>
  <c r="L165" i="9"/>
  <c r="M165" i="9" s="1"/>
  <c r="L247" i="9"/>
  <c r="M247" i="9" s="1"/>
  <c r="F247" i="9"/>
  <c r="F129" i="9"/>
  <c r="L260" i="9"/>
  <c r="M260" i="9" s="1"/>
  <c r="L271" i="9"/>
  <c r="M271" i="9" s="1"/>
  <c r="L261" i="9"/>
  <c r="M261" i="9" s="1"/>
  <c r="L222" i="9"/>
  <c r="M222" i="9" s="1"/>
  <c r="L228" i="9"/>
  <c r="M228" i="9" s="1"/>
  <c r="F238" i="9"/>
  <c r="F231" i="9"/>
  <c r="L207" i="9"/>
  <c r="M207" i="9" s="1"/>
  <c r="L72" i="9"/>
  <c r="M72" i="9" s="1"/>
  <c r="F229" i="9"/>
  <c r="F147" i="9"/>
  <c r="L243" i="9"/>
  <c r="M243" i="9" s="1"/>
  <c r="F250" i="9"/>
  <c r="L35" i="9"/>
  <c r="M35" i="9" s="1"/>
  <c r="L245" i="9"/>
  <c r="M245" i="9" s="1"/>
  <c r="L273" i="9"/>
  <c r="M273" i="9" s="1"/>
  <c r="L229" i="9"/>
  <c r="M229" i="9" s="1"/>
  <c r="L167" i="9"/>
  <c r="M167" i="9" s="1"/>
  <c r="L317" i="9"/>
  <c r="M317" i="9" s="1"/>
  <c r="L82" i="9"/>
  <c r="M82" i="9" s="1"/>
  <c r="L256" i="9"/>
  <c r="M256" i="9" s="1"/>
  <c r="F245" i="9"/>
  <c r="F208" i="9"/>
  <c r="G292" i="10"/>
  <c r="G306" i="10"/>
  <c r="G314" i="10"/>
  <c r="G307" i="10"/>
  <c r="G296" i="10"/>
  <c r="G300" i="10"/>
  <c r="G308" i="10"/>
  <c r="G298" i="10"/>
  <c r="G295" i="10"/>
  <c r="G302" i="10"/>
  <c r="G304" i="10"/>
  <c r="G316" i="10"/>
  <c r="G299" i="10"/>
  <c r="G310" i="10"/>
  <c r="F256" i="9"/>
  <c r="L201" i="9"/>
  <c r="M201" i="9" s="1"/>
  <c r="F101" i="9"/>
  <c r="G59" i="10"/>
  <c r="F252" i="9"/>
  <c r="G32" i="10"/>
  <c r="G35" i="10"/>
  <c r="G115" i="10"/>
  <c r="G194" i="10"/>
  <c r="G63" i="10"/>
  <c r="G257" i="10"/>
  <c r="G91" i="10"/>
  <c r="G278" i="10"/>
  <c r="L11" i="9"/>
  <c r="M11" i="9" s="1"/>
  <c r="G11" i="10"/>
  <c r="G111" i="10"/>
  <c r="D18" i="10"/>
  <c r="F111" i="9"/>
  <c r="F11" i="9"/>
  <c r="F263" i="9"/>
  <c r="L301" i="9"/>
  <c r="M301" i="9" s="1"/>
  <c r="F261" i="9"/>
  <c r="F129" i="10"/>
  <c r="F216" i="10"/>
  <c r="F78" i="10"/>
  <c r="F37" i="10"/>
  <c r="F71" i="10"/>
  <c r="F89" i="10"/>
  <c r="F94" i="10"/>
  <c r="F93" i="10"/>
  <c r="F55" i="10"/>
  <c r="F288" i="10"/>
  <c r="F57" i="10"/>
  <c r="F138" i="10"/>
  <c r="F132" i="10"/>
  <c r="F135" i="10"/>
  <c r="F19" i="10"/>
  <c r="F219" i="10"/>
  <c r="F289" i="10"/>
  <c r="F119" i="10"/>
  <c r="F99" i="10"/>
  <c r="F66" i="10"/>
  <c r="F24" i="10"/>
  <c r="F36" i="10"/>
  <c r="F87" i="10"/>
  <c r="F160" i="10"/>
  <c r="F86" i="10"/>
  <c r="F311" i="10"/>
  <c r="F22" i="10"/>
  <c r="F200" i="10"/>
  <c r="F218" i="10"/>
  <c r="F73" i="10"/>
  <c r="F47" i="10"/>
  <c r="F43" i="10"/>
  <c r="F181" i="10"/>
  <c r="F141" i="10"/>
  <c r="F65" i="10"/>
  <c r="F308" i="10"/>
  <c r="F20" i="10"/>
  <c r="F317" i="10"/>
  <c r="F175" i="10"/>
  <c r="F120" i="10"/>
  <c r="F156" i="10"/>
  <c r="F179" i="10"/>
  <c r="F81" i="10"/>
  <c r="F174" i="10"/>
  <c r="F101" i="10"/>
  <c r="F62" i="10"/>
  <c r="F48" i="10"/>
  <c r="F282" i="10"/>
  <c r="F126" i="10"/>
  <c r="F189" i="10"/>
  <c r="F84" i="10"/>
  <c r="F96" i="10"/>
  <c r="F303" i="10"/>
  <c r="F144" i="10"/>
  <c r="F284" i="10"/>
  <c r="F301" i="10"/>
  <c r="P5" i="18"/>
  <c r="F194" i="10"/>
  <c r="F147" i="10"/>
  <c r="F310" i="10"/>
  <c r="F17" i="10"/>
  <c r="AM320" i="22"/>
  <c r="X320" i="22"/>
  <c r="F151" i="10"/>
  <c r="F61" i="10"/>
  <c r="F271" i="10"/>
  <c r="F77" i="10"/>
  <c r="F110" i="10"/>
  <c r="F168" i="10"/>
  <c r="F199" i="10"/>
  <c r="F54" i="10"/>
  <c r="F114" i="10"/>
  <c r="F127" i="10"/>
  <c r="F166" i="10"/>
  <c r="F281" i="10"/>
  <c r="F88" i="10"/>
  <c r="F244" i="10"/>
  <c r="F148" i="10"/>
  <c r="F116" i="10"/>
  <c r="F82" i="10"/>
  <c r="F286" i="10"/>
  <c r="F50" i="10"/>
  <c r="F302" i="10"/>
  <c r="F29" i="10"/>
  <c r="F188" i="10"/>
  <c r="F171" i="10"/>
  <c r="F105" i="10"/>
  <c r="F80" i="10"/>
  <c r="F150" i="10"/>
  <c r="F278" i="10"/>
  <c r="F104" i="10"/>
  <c r="F45" i="10"/>
  <c r="F316" i="10"/>
  <c r="F190" i="10"/>
  <c r="F167" i="10"/>
  <c r="F115" i="10"/>
  <c r="F70" i="10"/>
  <c r="F75" i="10"/>
  <c r="F313" i="10"/>
  <c r="F298" i="10"/>
  <c r="F231" i="10"/>
  <c r="F30" i="10"/>
  <c r="F164" i="10"/>
  <c r="F40" i="10"/>
  <c r="F100" i="10"/>
  <c r="F293" i="10"/>
  <c r="F249" i="10"/>
  <c r="F204" i="10"/>
  <c r="F11" i="10"/>
  <c r="F134" i="10"/>
  <c r="F266" i="10"/>
  <c r="F13" i="10"/>
  <c r="F74" i="10"/>
  <c r="F299" i="10"/>
  <c r="F121" i="10"/>
  <c r="F315" i="10"/>
  <c r="F18" i="10"/>
  <c r="F44" i="10"/>
  <c r="F52" i="10"/>
  <c r="F59" i="10"/>
  <c r="F23" i="10"/>
  <c r="F250" i="10"/>
  <c r="G131" i="10"/>
  <c r="F131" i="10"/>
  <c r="F256" i="10"/>
  <c r="F149" i="10"/>
  <c r="F153" i="10"/>
  <c r="F229" i="10"/>
  <c r="F280" i="10"/>
  <c r="F319" i="10"/>
  <c r="F26" i="10"/>
  <c r="F268" i="10"/>
  <c r="F97" i="10"/>
  <c r="F49" i="10"/>
  <c r="F42" i="10"/>
  <c r="F222" i="10"/>
  <c r="F259" i="10"/>
  <c r="F125" i="10"/>
  <c r="F68" i="10"/>
  <c r="F133" i="10"/>
  <c r="F178" i="10"/>
  <c r="F263" i="10"/>
  <c r="F95" i="10"/>
  <c r="F122" i="10"/>
  <c r="F158" i="10"/>
  <c r="F211" i="10"/>
  <c r="F58" i="10"/>
  <c r="F41" i="10"/>
  <c r="F283" i="10"/>
  <c r="F123" i="10"/>
  <c r="F270" i="10"/>
  <c r="F243" i="10"/>
  <c r="F180" i="10"/>
  <c r="F91" i="10"/>
  <c r="F109" i="10"/>
  <c r="F265" i="10"/>
  <c r="F108" i="10"/>
  <c r="F305" i="10"/>
  <c r="F118" i="10"/>
  <c r="F242" i="10"/>
  <c r="F186" i="10"/>
  <c r="F309" i="10"/>
  <c r="F193" i="10"/>
  <c r="F304" i="10"/>
  <c r="F51" i="10"/>
  <c r="F170" i="10"/>
  <c r="F137" i="10"/>
  <c r="F28" i="10"/>
  <c r="F272" i="10"/>
  <c r="F208" i="10"/>
  <c r="F33" i="10"/>
  <c r="F69" i="10"/>
  <c r="F192" i="10"/>
  <c r="F195" i="10"/>
  <c r="F173" i="10"/>
  <c r="F182" i="10"/>
  <c r="F273" i="10"/>
  <c r="F155" i="10"/>
  <c r="F287" i="10"/>
  <c r="F145" i="10"/>
  <c r="F262" i="10"/>
  <c r="F177" i="10"/>
  <c r="F274" i="10"/>
  <c r="F139" i="10"/>
  <c r="F162" i="10"/>
  <c r="F285" i="10"/>
  <c r="F107" i="10"/>
  <c r="F34" i="10"/>
  <c r="F239" i="10"/>
  <c r="F254" i="10"/>
  <c r="F130" i="10"/>
  <c r="F292" i="10"/>
  <c r="F217" i="10"/>
  <c r="F255" i="10"/>
  <c r="F184" i="10"/>
  <c r="G126" i="10"/>
  <c r="G230" i="10"/>
  <c r="G21" i="10"/>
  <c r="G53" i="10"/>
  <c r="G311" i="10"/>
  <c r="G202" i="10"/>
  <c r="G38" i="10"/>
  <c r="G252" i="10"/>
  <c r="G47" i="10"/>
  <c r="G34" i="10"/>
  <c r="G42" i="10"/>
  <c r="G56" i="10"/>
  <c r="G196" i="10"/>
  <c r="G309" i="10"/>
  <c r="G51" i="10"/>
  <c r="G90" i="10"/>
  <c r="G108" i="10"/>
  <c r="G153" i="10"/>
  <c r="G229" i="10"/>
  <c r="F276" i="9"/>
  <c r="M276" i="9"/>
  <c r="G121" i="10"/>
  <c r="G18" i="10"/>
  <c r="G262" i="10"/>
  <c r="G164" i="10"/>
  <c r="G67" i="10"/>
  <c r="L313" i="18"/>
  <c r="M313" i="18"/>
  <c r="P321" i="9"/>
  <c r="P327" i="9" s="1"/>
  <c r="E102" i="31" l="1"/>
  <c r="U255" i="10"/>
  <c r="G255" i="10" s="1"/>
  <c r="U168" i="10"/>
  <c r="G168" i="10" s="1"/>
  <c r="U193" i="10"/>
  <c r="G193" i="10" s="1"/>
  <c r="U242" i="10"/>
  <c r="G242" i="10" s="1"/>
  <c r="U219" i="10"/>
  <c r="G219" i="10" s="1"/>
  <c r="U135" i="10"/>
  <c r="G135" i="10" s="1"/>
  <c r="U200" i="10"/>
  <c r="G200" i="10" s="1"/>
  <c r="U152" i="10"/>
  <c r="G152" i="10" s="1"/>
  <c r="U57" i="10"/>
  <c r="G57" i="10" s="1"/>
  <c r="U313" i="10"/>
  <c r="G313" i="10" s="1"/>
  <c r="U279" i="10"/>
  <c r="G279" i="10" s="1"/>
  <c r="T163" i="10"/>
  <c r="F163" i="10" s="1"/>
  <c r="U117" i="10"/>
  <c r="G117" i="10" s="1"/>
  <c r="T307" i="10"/>
  <c r="F307" i="10" s="1"/>
  <c r="U46" i="10"/>
  <c r="G46" i="10" s="1"/>
  <c r="U22" i="10"/>
  <c r="G22" i="10" s="1"/>
  <c r="U105" i="10"/>
  <c r="G105" i="10" s="1"/>
  <c r="U189" i="10"/>
  <c r="G189" i="10" s="1"/>
  <c r="U116" i="10"/>
  <c r="G116" i="10" s="1"/>
  <c r="T103" i="10"/>
  <c r="F103" i="10" s="1"/>
  <c r="U40" i="10"/>
  <c r="G40" i="10" s="1"/>
  <c r="T142" i="10"/>
  <c r="F142" i="10" s="1"/>
  <c r="U86" i="10"/>
  <c r="G86" i="10" s="1"/>
  <c r="U147" i="10"/>
  <c r="G147" i="10" s="1"/>
  <c r="U267" i="10"/>
  <c r="G267" i="10" s="1"/>
  <c r="T67" i="10"/>
  <c r="F67" i="10" s="1"/>
  <c r="U176" i="10"/>
  <c r="G176" i="10" s="1"/>
  <c r="U65" i="10"/>
  <c r="G65" i="10" s="1"/>
  <c r="U95" i="10"/>
  <c r="G95" i="10" s="1"/>
  <c r="T76" i="10"/>
  <c r="F76" i="10" s="1"/>
  <c r="T306" i="10"/>
  <c r="F306" i="10" s="1"/>
  <c r="U41" i="10"/>
  <c r="G41" i="10" s="1"/>
  <c r="U301" i="10"/>
  <c r="G301" i="10" s="1"/>
  <c r="T124" i="10"/>
  <c r="F124" i="10" s="1"/>
  <c r="U82" i="10"/>
  <c r="G82" i="10" s="1"/>
  <c r="U297" i="10"/>
  <c r="G297" i="10" s="1"/>
  <c r="U294" i="10"/>
  <c r="G294" i="10" s="1"/>
  <c r="U74" i="10"/>
  <c r="G74" i="10" s="1"/>
  <c r="M253" i="9"/>
  <c r="E24" i="31" s="1"/>
  <c r="E34" i="31" s="1"/>
  <c r="E90" i="31"/>
  <c r="E92" i="31" s="1"/>
  <c r="U81" i="10"/>
  <c r="G81" i="10" s="1"/>
  <c r="U132" i="10"/>
  <c r="G132" i="10" s="1"/>
  <c r="U235" i="10"/>
  <c r="G235" i="10" s="1"/>
  <c r="U208" i="10"/>
  <c r="G208" i="10" s="1"/>
  <c r="T230" i="10"/>
  <c r="F230" i="10" s="1"/>
  <c r="U211" i="10"/>
  <c r="G211" i="10" s="1"/>
  <c r="T165" i="10"/>
  <c r="F165" i="10" s="1"/>
  <c r="U305" i="10"/>
  <c r="G305" i="10" s="1"/>
  <c r="U221" i="10"/>
  <c r="G221" i="10" s="1"/>
  <c r="U186" i="10"/>
  <c r="G186" i="10" s="1"/>
  <c r="U173" i="10"/>
  <c r="G173" i="10" s="1"/>
  <c r="U80" i="10"/>
  <c r="G80" i="10" s="1"/>
  <c r="T232" i="10"/>
  <c r="F232" i="10" s="1"/>
  <c r="U303" i="10"/>
  <c r="G303" i="10" s="1"/>
  <c r="U239" i="10"/>
  <c r="G239" i="10" s="1"/>
  <c r="T31" i="10"/>
  <c r="F31" i="10" s="1"/>
  <c r="U184" i="10"/>
  <c r="G184" i="10" s="1"/>
  <c r="U160" i="10"/>
  <c r="G160" i="10" s="1"/>
  <c r="G253" i="9"/>
  <c r="E72" i="31"/>
  <c r="E77" i="31" s="1"/>
  <c r="U273" i="10"/>
  <c r="G273" i="10" s="1"/>
  <c r="U222" i="10"/>
  <c r="G222" i="10" s="1"/>
  <c r="U274" i="10"/>
  <c r="G274" i="10" s="1"/>
  <c r="U259" i="10"/>
  <c r="G259" i="10" s="1"/>
  <c r="U78" i="10"/>
  <c r="G78" i="10" s="1"/>
  <c r="U254" i="10"/>
  <c r="G254" i="10" s="1"/>
  <c r="U225" i="10"/>
  <c r="G225" i="10" s="1"/>
  <c r="U185" i="10"/>
  <c r="G185" i="10" s="1"/>
  <c r="T90" i="10"/>
  <c r="F90" i="10" s="1"/>
  <c r="U171" i="10"/>
  <c r="G171" i="10" s="1"/>
  <c r="U94" i="10"/>
  <c r="G94" i="10" s="1"/>
  <c r="T60" i="10"/>
  <c r="F60" i="10" s="1"/>
  <c r="U247" i="10"/>
  <c r="G247" i="10" s="1"/>
  <c r="U79" i="10"/>
  <c r="G79" i="10" s="1"/>
  <c r="U218" i="10"/>
  <c r="G218" i="10" s="1"/>
  <c r="T32" i="10"/>
  <c r="F32" i="10" s="1"/>
  <c r="T269" i="10"/>
  <c r="F269" i="10" s="1"/>
  <c r="U137" i="10"/>
  <c r="G137" i="10" s="1"/>
  <c r="U181" i="10"/>
  <c r="G181" i="10" s="1"/>
  <c r="U264" i="10"/>
  <c r="G264" i="10" s="1"/>
  <c r="U228" i="10"/>
  <c r="G228" i="10" s="1"/>
  <c r="U175" i="10"/>
  <c r="G175" i="10" s="1"/>
  <c r="U150" i="10"/>
  <c r="G150" i="10" s="1"/>
  <c r="U277" i="10"/>
  <c r="G277" i="10" s="1"/>
  <c r="U26" i="10"/>
  <c r="G26" i="10" s="1"/>
  <c r="T213" i="10"/>
  <c r="F213" i="10" s="1"/>
  <c r="T183" i="10"/>
  <c r="F183" i="10" s="1"/>
  <c r="T172" i="10"/>
  <c r="F172" i="10" s="1"/>
  <c r="W198" i="10"/>
  <c r="X198" i="10" s="1"/>
  <c r="X267" i="10"/>
  <c r="G113" i="9"/>
  <c r="W113" i="10" s="1"/>
  <c r="X113" i="10" s="1"/>
  <c r="AE225" i="22"/>
  <c r="F227" i="9" s="1"/>
  <c r="AP225" i="22"/>
  <c r="AE224" i="22"/>
  <c r="F226" i="9" s="1"/>
  <c r="AP224" i="22"/>
  <c r="AF33" i="22"/>
  <c r="L36" i="9" s="1"/>
  <c r="M36" i="9" s="1"/>
  <c r="AP33" i="22"/>
  <c r="AE222" i="22"/>
  <c r="F224" i="9" s="1"/>
  <c r="AP222" i="22"/>
  <c r="AF225" i="22"/>
  <c r="L227" i="9" s="1"/>
  <c r="M227" i="9" s="1"/>
  <c r="AE33" i="22"/>
  <c r="F36" i="9" s="1"/>
  <c r="AF224" i="22"/>
  <c r="L226" i="9" s="1"/>
  <c r="M226" i="9" s="1"/>
  <c r="Q5" i="18"/>
  <c r="G8" i="22"/>
  <c r="AP8" i="22" s="1"/>
  <c r="U10" i="10" s="1"/>
  <c r="F15" i="9"/>
  <c r="AF222" i="22"/>
  <c r="L224" i="9" s="1"/>
  <c r="M224" i="9" s="1"/>
  <c r="AF208" i="22"/>
  <c r="L211" i="9" s="1"/>
  <c r="M211" i="9" s="1"/>
  <c r="AE208" i="22"/>
  <c r="F211" i="9" s="1"/>
  <c r="G210" i="10"/>
  <c r="T10" i="10"/>
  <c r="AO320" i="22"/>
  <c r="P313" i="18"/>
  <c r="R10" i="10"/>
  <c r="AN320" i="22"/>
  <c r="G287" i="10"/>
  <c r="E290" i="10"/>
  <c r="E313" i="10"/>
  <c r="O320" i="22"/>
  <c r="Q320" i="22"/>
  <c r="G112" i="10"/>
  <c r="L147" i="9"/>
  <c r="M147" i="9" s="1"/>
  <c r="F37" i="9"/>
  <c r="F46" i="9"/>
  <c r="L104" i="9"/>
  <c r="M104" i="9" s="1"/>
  <c r="L182" i="9"/>
  <c r="M182" i="9" s="1"/>
  <c r="F308" i="9"/>
  <c r="L76" i="9"/>
  <c r="M76" i="9" s="1"/>
  <c r="F30" i="9"/>
  <c r="F91" i="9"/>
  <c r="L33" i="9"/>
  <c r="M33" i="9" s="1"/>
  <c r="F105" i="9"/>
  <c r="F102" i="9"/>
  <c r="F165" i="9"/>
  <c r="F168" i="9"/>
  <c r="L162" i="9"/>
  <c r="M162" i="9" s="1"/>
  <c r="F312" i="9"/>
  <c r="F114" i="9"/>
  <c r="F199" i="9"/>
  <c r="L56" i="9"/>
  <c r="M56" i="9" s="1"/>
  <c r="L150" i="9"/>
  <c r="M150" i="9" s="1"/>
  <c r="F141" i="9"/>
  <c r="L212" i="9"/>
  <c r="M212" i="9" s="1"/>
  <c r="L62" i="9"/>
  <c r="M62" i="9" s="1"/>
  <c r="F280" i="9"/>
  <c r="F133" i="9"/>
  <c r="F48" i="9"/>
  <c r="L96" i="9"/>
  <c r="M96" i="9" s="1"/>
  <c r="L310" i="9"/>
  <c r="M310" i="9" s="1"/>
  <c r="F69" i="9"/>
  <c r="L159" i="9"/>
  <c r="M159" i="9" s="1"/>
  <c r="L282" i="9"/>
  <c r="M282" i="9" s="1"/>
  <c r="L142" i="9"/>
  <c r="M142" i="9" s="1"/>
  <c r="F213" i="9"/>
  <c r="L200" i="9"/>
  <c r="M200" i="9" s="1"/>
  <c r="L79" i="9"/>
  <c r="M79" i="9" s="1"/>
  <c r="L130" i="9"/>
  <c r="M130" i="9" s="1"/>
  <c r="L129" i="9"/>
  <c r="M129" i="9" s="1"/>
  <c r="F62" i="9"/>
  <c r="L135" i="9"/>
  <c r="M135" i="9" s="1"/>
  <c r="F191" i="9"/>
  <c r="L90" i="9"/>
  <c r="M90" i="9" s="1"/>
  <c r="F71" i="9"/>
  <c r="L21" i="9"/>
  <c r="M21" i="9" s="1"/>
  <c r="F85" i="9"/>
  <c r="F218" i="9"/>
  <c r="F73" i="9"/>
  <c r="F124" i="9"/>
  <c r="F215" i="9"/>
  <c r="L80" i="9"/>
  <c r="M80" i="9" s="1"/>
  <c r="F119" i="9"/>
  <c r="L87" i="9"/>
  <c r="M87" i="9" s="1"/>
  <c r="L155" i="9"/>
  <c r="M155" i="9" s="1"/>
  <c r="F289" i="9"/>
  <c r="F56" i="9"/>
  <c r="F108" i="9"/>
  <c r="L292" i="9"/>
  <c r="M292" i="9" s="1"/>
  <c r="F97" i="9"/>
  <c r="L39" i="9"/>
  <c r="M39" i="9" s="1"/>
  <c r="L181" i="9"/>
  <c r="M181" i="9" s="1"/>
  <c r="L93" i="9"/>
  <c r="M93" i="9" s="1"/>
  <c r="F291" i="9"/>
  <c r="L37" i="9"/>
  <c r="M37" i="9" s="1"/>
  <c r="L24" i="9"/>
  <c r="M24" i="9" s="1"/>
  <c r="L124" i="9"/>
  <c r="M124" i="9" s="1"/>
  <c r="F173" i="9"/>
  <c r="L119" i="9"/>
  <c r="M119" i="9" s="1"/>
  <c r="F286" i="9"/>
  <c r="F194" i="9"/>
  <c r="L295" i="9"/>
  <c r="M295" i="9" s="1"/>
  <c r="F20" i="9"/>
  <c r="F185" i="9"/>
  <c r="L18" i="9"/>
  <c r="M18" i="9" s="1"/>
  <c r="F52" i="9"/>
  <c r="L168" i="9"/>
  <c r="M168" i="9" s="1"/>
  <c r="F217" i="9"/>
  <c r="F150" i="9"/>
  <c r="L196" i="9"/>
  <c r="M196" i="9" s="1"/>
  <c r="L184" i="9"/>
  <c r="M184" i="9" s="1"/>
  <c r="F142" i="9"/>
  <c r="F76" i="9"/>
  <c r="L217" i="9"/>
  <c r="M217" i="9" s="1"/>
  <c r="F190" i="9"/>
  <c r="F319" i="9"/>
  <c r="F195" i="9"/>
  <c r="F315" i="9"/>
  <c r="F178" i="9"/>
  <c r="L152" i="9"/>
  <c r="M152" i="9" s="1"/>
  <c r="L308" i="9"/>
  <c r="M308" i="9" s="1"/>
  <c r="F314" i="9"/>
  <c r="L42" i="9"/>
  <c r="M42" i="9" s="1"/>
  <c r="L190" i="9"/>
  <c r="M190" i="9" s="1"/>
  <c r="F157" i="9"/>
  <c r="L141" i="9"/>
  <c r="M141" i="9" s="1"/>
  <c r="F24" i="9"/>
  <c r="F182" i="9"/>
  <c r="L68" i="9"/>
  <c r="M68" i="9" s="1"/>
  <c r="F77" i="9"/>
  <c r="F83" i="9"/>
  <c r="L102" i="9"/>
  <c r="M102" i="9" s="1"/>
  <c r="L191" i="9"/>
  <c r="M191" i="9" s="1"/>
  <c r="F68" i="9"/>
  <c r="L290" i="9"/>
  <c r="M290" i="9" s="1"/>
  <c r="F43" i="9"/>
  <c r="L185" i="9"/>
  <c r="M185" i="9" s="1"/>
  <c r="F162" i="9"/>
  <c r="L63" i="9"/>
  <c r="M63" i="9" s="1"/>
  <c r="F59" i="9"/>
  <c r="F134" i="9"/>
  <c r="F96" i="9"/>
  <c r="L179" i="9"/>
  <c r="M179" i="9" s="1"/>
  <c r="L71" i="9"/>
  <c r="M71" i="9" s="1"/>
  <c r="L169" i="9"/>
  <c r="M169" i="9" s="1"/>
  <c r="M316" i="9"/>
  <c r="F219" i="9"/>
  <c r="F123" i="9"/>
  <c r="F176" i="9"/>
  <c r="F79" i="9"/>
  <c r="L277" i="9"/>
  <c r="M277" i="9" s="1"/>
  <c r="L136" i="9"/>
  <c r="M136" i="9" s="1"/>
  <c r="F28" i="9"/>
  <c r="F303" i="9"/>
  <c r="L303" i="9"/>
  <c r="M303" i="9" s="1"/>
  <c r="F167" i="9"/>
  <c r="F282" i="9"/>
  <c r="F136" i="9"/>
  <c r="F181" i="9"/>
  <c r="F184" i="9"/>
  <c r="F295" i="9"/>
  <c r="F103" i="9"/>
  <c r="F75" i="9"/>
  <c r="F143" i="9"/>
  <c r="L287" i="9"/>
  <c r="M287" i="9" s="1"/>
  <c r="L291" i="9"/>
  <c r="M291" i="9" s="1"/>
  <c r="L177" i="9"/>
  <c r="M177" i="9" s="1"/>
  <c r="F22" i="9"/>
  <c r="L289" i="9"/>
  <c r="M289" i="9" s="1"/>
  <c r="L120" i="9"/>
  <c r="M120" i="9" s="1"/>
  <c r="L131" i="9"/>
  <c r="M131" i="9" s="1"/>
  <c r="L188" i="9"/>
  <c r="M188" i="9" s="1"/>
  <c r="L52" i="9"/>
  <c r="M52" i="9" s="1"/>
  <c r="L109" i="9"/>
  <c r="M109" i="9" s="1"/>
  <c r="L278" i="9"/>
  <c r="M278" i="9" s="1"/>
  <c r="L88" i="9"/>
  <c r="M88" i="9" s="1"/>
  <c r="F18" i="9"/>
  <c r="L92" i="9"/>
  <c r="M92" i="9" s="1"/>
  <c r="F200" i="9"/>
  <c r="F299" i="9"/>
  <c r="L114" i="9"/>
  <c r="M114" i="9" s="1"/>
  <c r="L280" i="9"/>
  <c r="M280" i="9" s="1"/>
  <c r="F290" i="9"/>
  <c r="L31" i="9"/>
  <c r="M31" i="9" s="1"/>
  <c r="L83" i="9"/>
  <c r="M83" i="9" s="1"/>
  <c r="L297" i="9"/>
  <c r="M297" i="9" s="1"/>
  <c r="L19" i="9"/>
  <c r="M19" i="9" s="1"/>
  <c r="L218" i="9"/>
  <c r="M218" i="9" s="1"/>
  <c r="F179" i="9"/>
  <c r="F132" i="9"/>
  <c r="F120" i="9"/>
  <c r="F177" i="9"/>
  <c r="L48" i="9"/>
  <c r="M48" i="9" s="1"/>
  <c r="L215" i="9"/>
  <c r="M215" i="9" s="1"/>
  <c r="F293" i="9"/>
  <c r="L53" i="9"/>
  <c r="M53" i="9" s="1"/>
  <c r="L156" i="9"/>
  <c r="M156" i="9" s="1"/>
  <c r="F149" i="9"/>
  <c r="L305" i="9"/>
  <c r="M305" i="9" s="1"/>
  <c r="F155" i="9"/>
  <c r="F55" i="9"/>
  <c r="L27" i="9"/>
  <c r="M27" i="9" s="1"/>
  <c r="L44" i="9"/>
  <c r="M44" i="9" s="1"/>
  <c r="F39" i="9"/>
  <c r="F138" i="9"/>
  <c r="L69" i="9"/>
  <c r="M69" i="9" s="1"/>
  <c r="L138" i="9"/>
  <c r="M138" i="9" s="1"/>
  <c r="L298" i="9"/>
  <c r="M298" i="9" s="1"/>
  <c r="L73" i="9"/>
  <c r="M73" i="9" s="1"/>
  <c r="F296" i="9"/>
  <c r="L60" i="9"/>
  <c r="M60" i="9" s="1"/>
  <c r="L46" i="9"/>
  <c r="M46" i="9" s="1"/>
  <c r="L312" i="9"/>
  <c r="M312" i="9" s="1"/>
  <c r="F151" i="9"/>
  <c r="L285" i="9"/>
  <c r="M285" i="9" s="1"/>
  <c r="F109" i="9"/>
  <c r="F89" i="9"/>
  <c r="L132" i="9"/>
  <c r="M132" i="9" s="1"/>
  <c r="F99" i="9"/>
  <c r="F53" i="9"/>
  <c r="L174" i="9"/>
  <c r="M174" i="9" s="1"/>
  <c r="L220" i="9"/>
  <c r="M220" i="9" s="1"/>
  <c r="F309" i="9"/>
  <c r="F64" i="9"/>
  <c r="F283" i="9"/>
  <c r="F152" i="9"/>
  <c r="L164" i="9"/>
  <c r="M164" i="9" s="1"/>
  <c r="L137" i="9"/>
  <c r="M137" i="9" s="1"/>
  <c r="F278" i="9"/>
  <c r="L45" i="9"/>
  <c r="M45" i="9" s="1"/>
  <c r="L173" i="9"/>
  <c r="M173" i="9" s="1"/>
  <c r="F135" i="9"/>
  <c r="L195" i="9"/>
  <c r="M195" i="9" s="1"/>
  <c r="F310" i="9"/>
  <c r="F279" i="9"/>
  <c r="F160" i="9"/>
  <c r="F313" i="9"/>
  <c r="L314" i="9"/>
  <c r="M314" i="9" s="1"/>
  <c r="F23" i="9"/>
  <c r="L98" i="9"/>
  <c r="M98" i="9" s="1"/>
  <c r="F156" i="9"/>
  <c r="L67" i="9"/>
  <c r="M67" i="9" s="1"/>
  <c r="F67" i="9"/>
  <c r="L294" i="9"/>
  <c r="M294" i="9" s="1"/>
  <c r="F180" i="9"/>
  <c r="F121" i="9"/>
  <c r="L41" i="9"/>
  <c r="M41" i="9" s="1"/>
  <c r="L58" i="9"/>
  <c r="M58" i="9" s="1"/>
  <c r="F58" i="9"/>
  <c r="F26" i="9"/>
  <c r="F220" i="9"/>
  <c r="F27" i="9"/>
  <c r="L125" i="9"/>
  <c r="M125" i="9" s="1"/>
  <c r="F174" i="9"/>
  <c r="L139" i="9"/>
  <c r="M139" i="9" s="1"/>
  <c r="F42" i="9"/>
  <c r="L309" i="9"/>
  <c r="M309" i="9" s="1"/>
  <c r="L61" i="9"/>
  <c r="M61" i="9" s="1"/>
  <c r="F300" i="9"/>
  <c r="F100" i="9"/>
  <c r="F66" i="9"/>
  <c r="F297" i="9"/>
  <c r="L38" i="9"/>
  <c r="M38" i="9" s="1"/>
  <c r="L157" i="9"/>
  <c r="M157" i="9" s="1"/>
  <c r="L216" i="9"/>
  <c r="M216" i="9" s="1"/>
  <c r="F164" i="9"/>
  <c r="L54" i="9"/>
  <c r="M54" i="9" s="1"/>
  <c r="L121" i="9"/>
  <c r="M121" i="9" s="1"/>
  <c r="F298" i="9"/>
  <c r="L286" i="9"/>
  <c r="M286" i="9" s="1"/>
  <c r="F126" i="9"/>
  <c r="F159" i="9"/>
  <c r="L279" i="9"/>
  <c r="M279" i="9" s="1"/>
  <c r="F74" i="9"/>
  <c r="F98" i="9"/>
  <c r="L281" i="9"/>
  <c r="M281" i="9" s="1"/>
  <c r="L91" i="9"/>
  <c r="M91" i="9" s="1"/>
  <c r="F148" i="9"/>
  <c r="L30" i="9"/>
  <c r="M30" i="9" s="1"/>
  <c r="F88" i="9"/>
  <c r="F288" i="9"/>
  <c r="F294" i="9"/>
  <c r="F38" i="9"/>
  <c r="F80" i="9"/>
  <c r="L304" i="9"/>
  <c r="M304" i="9" s="1"/>
  <c r="L59" i="9"/>
  <c r="M59" i="9" s="1"/>
  <c r="F54" i="9"/>
  <c r="L154" i="9"/>
  <c r="M154" i="9" s="1"/>
  <c r="F130" i="9"/>
  <c r="F44" i="9"/>
  <c r="F292" i="9"/>
  <c r="L311" i="9"/>
  <c r="M311" i="9" s="1"/>
  <c r="L133" i="9"/>
  <c r="M133" i="9" s="1"/>
  <c r="L77" i="9"/>
  <c r="M77" i="9" s="1"/>
  <c r="L78" i="9"/>
  <c r="M78" i="9" s="1"/>
  <c r="F189" i="9"/>
  <c r="F70" i="9"/>
  <c r="F61" i="9"/>
  <c r="L170" i="9"/>
  <c r="M170" i="9" s="1"/>
  <c r="F302" i="9"/>
  <c r="F216" i="9"/>
  <c r="L40" i="9"/>
  <c r="M40" i="9" s="1"/>
  <c r="L50" i="9"/>
  <c r="M50" i="9" s="1"/>
  <c r="L126" i="9"/>
  <c r="M126" i="9" s="1"/>
  <c r="F115" i="9"/>
  <c r="F90" i="9"/>
  <c r="L175" i="9"/>
  <c r="M175" i="9" s="1"/>
  <c r="F137" i="9"/>
  <c r="L117" i="9"/>
  <c r="M117" i="9" s="1"/>
  <c r="L122" i="9"/>
  <c r="M122" i="9" s="1"/>
  <c r="F285" i="9"/>
  <c r="L288" i="9"/>
  <c r="M288" i="9" s="1"/>
  <c r="F171" i="9"/>
  <c r="L118" i="9"/>
  <c r="M118" i="9" s="1"/>
  <c r="F63" i="9"/>
  <c r="F161" i="9"/>
  <c r="F51" i="9"/>
  <c r="L95" i="9"/>
  <c r="M95" i="9" s="1"/>
  <c r="L23" i="9"/>
  <c r="M23" i="9" s="1"/>
  <c r="L186" i="9"/>
  <c r="M186" i="9" s="1"/>
  <c r="F192" i="9"/>
  <c r="L127" i="9"/>
  <c r="M127" i="9" s="1"/>
  <c r="L110" i="9"/>
  <c r="M110" i="9" s="1"/>
  <c r="F127" i="9"/>
  <c r="F304" i="9"/>
  <c r="F49" i="9"/>
  <c r="L299" i="9"/>
  <c r="M299" i="9" s="1"/>
  <c r="F158" i="9"/>
  <c r="L302" i="9"/>
  <c r="M302" i="9" s="1"/>
  <c r="F186" i="9"/>
  <c r="L105" i="9"/>
  <c r="M105" i="9" s="1"/>
  <c r="L49" i="9"/>
  <c r="M49" i="9" s="1"/>
  <c r="L20" i="9"/>
  <c r="M20" i="9" s="1"/>
  <c r="F72" i="9"/>
  <c r="F187" i="9"/>
  <c r="L97" i="9"/>
  <c r="M97" i="9" s="1"/>
  <c r="F281" i="9"/>
  <c r="F117" i="9"/>
  <c r="F104" i="9"/>
  <c r="F92" i="9"/>
  <c r="F122" i="9"/>
  <c r="F93" i="9"/>
  <c r="L32" i="9"/>
  <c r="M32" i="9" s="1"/>
  <c r="L89" i="9"/>
  <c r="M89" i="9" s="1"/>
  <c r="L178" i="9"/>
  <c r="M178" i="9" s="1"/>
  <c r="L180" i="9"/>
  <c r="M180" i="9" s="1"/>
  <c r="L199" i="9"/>
  <c r="M199" i="9" s="1"/>
  <c r="F166" i="9"/>
  <c r="F144" i="9"/>
  <c r="F196" i="9"/>
  <c r="L99" i="9"/>
  <c r="M99" i="9" s="1"/>
  <c r="L128" i="9"/>
  <c r="M128" i="9" s="1"/>
  <c r="F29" i="9"/>
  <c r="L103" i="9"/>
  <c r="M103" i="9" s="1"/>
  <c r="L74" i="9"/>
  <c r="M74" i="9" s="1"/>
  <c r="L75" i="9"/>
  <c r="M75" i="9" s="1"/>
  <c r="F163" i="9"/>
  <c r="F145" i="9"/>
  <c r="L146" i="9"/>
  <c r="M146" i="9" s="1"/>
  <c r="F170" i="9"/>
  <c r="F305" i="9"/>
  <c r="F169" i="9"/>
  <c r="L293" i="9"/>
  <c r="M293" i="9" s="1"/>
  <c r="L134" i="9"/>
  <c r="M134" i="9" s="1"/>
  <c r="L187" i="9"/>
  <c r="M187" i="9" s="1"/>
  <c r="F82" i="9"/>
  <c r="L193" i="9"/>
  <c r="M193" i="9" s="1"/>
  <c r="L25" i="9"/>
  <c r="M25" i="9" s="1"/>
  <c r="F78" i="9"/>
  <c r="F86" i="9"/>
  <c r="F317" i="9"/>
  <c r="L183" i="9"/>
  <c r="M183" i="9" s="1"/>
  <c r="L214" i="9"/>
  <c r="M214" i="9" s="1"/>
  <c r="L158" i="9"/>
  <c r="M158" i="9" s="1"/>
  <c r="L123" i="9"/>
  <c r="M123" i="9" s="1"/>
  <c r="L153" i="9"/>
  <c r="M153" i="9" s="1"/>
  <c r="F306" i="9"/>
  <c r="L189" i="9"/>
  <c r="M189" i="9" s="1"/>
  <c r="L166" i="9"/>
  <c r="M166" i="9" s="1"/>
  <c r="F188" i="9"/>
  <c r="F95" i="9"/>
  <c r="L163" i="9"/>
  <c r="M163" i="9" s="1"/>
  <c r="F47" i="9"/>
  <c r="F45" i="9"/>
  <c r="F307" i="9"/>
  <c r="F110" i="9"/>
  <c r="L100" i="9"/>
  <c r="M100" i="9" s="1"/>
  <c r="L171" i="9"/>
  <c r="M171" i="9" s="1"/>
  <c r="F183" i="9"/>
  <c r="F19" i="9"/>
  <c r="L140" i="9"/>
  <c r="M140" i="9" s="1"/>
  <c r="F84" i="9"/>
  <c r="F212" i="9"/>
  <c r="F25" i="9"/>
  <c r="L306" i="9"/>
  <c r="M306" i="9" s="1"/>
  <c r="L94" i="9"/>
  <c r="M94" i="9" s="1"/>
  <c r="F87" i="9"/>
  <c r="F214" i="9"/>
  <c r="F57" i="9"/>
  <c r="L160" i="9"/>
  <c r="M160" i="9" s="1"/>
  <c r="F153" i="9"/>
  <c r="L176" i="9"/>
  <c r="M176" i="9" s="1"/>
  <c r="F193" i="9"/>
  <c r="F131" i="9"/>
  <c r="L22" i="9"/>
  <c r="M22" i="9" s="1"/>
  <c r="F41" i="9"/>
  <c r="L161" i="9"/>
  <c r="M161" i="9" s="1"/>
  <c r="F50" i="9"/>
  <c r="F139" i="9"/>
  <c r="L149" i="9"/>
  <c r="M149" i="9" s="1"/>
  <c r="L55" i="9"/>
  <c r="M55" i="9" s="1"/>
  <c r="L34" i="9"/>
  <c r="M34" i="9" s="1"/>
  <c r="F34" i="9"/>
  <c r="F311" i="9"/>
  <c r="L213" i="9"/>
  <c r="M213" i="9" s="1"/>
  <c r="L64" i="9"/>
  <c r="M64" i="9" s="1"/>
  <c r="L300" i="9"/>
  <c r="M300" i="9" s="1"/>
  <c r="L28" i="9"/>
  <c r="M28" i="9" s="1"/>
  <c r="F40" i="9"/>
  <c r="L29" i="9"/>
  <c r="M29" i="9" s="1"/>
  <c r="L43" i="9"/>
  <c r="M43" i="9" s="1"/>
  <c r="F116" i="9"/>
  <c r="L148" i="9"/>
  <c r="M148" i="9" s="1"/>
  <c r="L116" i="9"/>
  <c r="M116" i="9" s="1"/>
  <c r="F140" i="9"/>
  <c r="L84" i="9"/>
  <c r="M84" i="9" s="1"/>
  <c r="F60" i="9"/>
  <c r="L296" i="9"/>
  <c r="M296" i="9" s="1"/>
  <c r="L57" i="9"/>
  <c r="M57" i="9" s="1"/>
  <c r="L115" i="9"/>
  <c r="M115" i="9" s="1"/>
  <c r="L151" i="9"/>
  <c r="M151" i="9" s="1"/>
  <c r="L85" i="9"/>
  <c r="M85" i="9" s="1"/>
  <c r="L219" i="9"/>
  <c r="M219" i="9" s="1"/>
  <c r="L86" i="9"/>
  <c r="M86" i="9" s="1"/>
  <c r="L81" i="9"/>
  <c r="M81" i="9" s="1"/>
  <c r="F175" i="9"/>
  <c r="F118" i="9"/>
  <c r="F31" i="9"/>
  <c r="F32" i="9"/>
  <c r="L144" i="9"/>
  <c r="M144" i="9" s="1"/>
  <c r="F154" i="9"/>
  <c r="F128" i="9"/>
  <c r="L145" i="9"/>
  <c r="M145" i="9" s="1"/>
  <c r="L51" i="9"/>
  <c r="M51" i="9" s="1"/>
  <c r="L108" i="9"/>
  <c r="M108" i="9" s="1"/>
  <c r="L47" i="9"/>
  <c r="M47" i="9" s="1"/>
  <c r="L26" i="9"/>
  <c r="M26" i="9" s="1"/>
  <c r="F21" i="9"/>
  <c r="L70" i="9"/>
  <c r="M70" i="9" s="1"/>
  <c r="L307" i="9"/>
  <c r="M307" i="9" s="1"/>
  <c r="L283" i="9"/>
  <c r="M283" i="9" s="1"/>
  <c r="L192" i="9"/>
  <c r="M192" i="9" s="1"/>
  <c r="F35" i="9"/>
  <c r="P320" i="22"/>
  <c r="G319" i="10"/>
  <c r="W253" i="10" l="1"/>
  <c r="X253" i="10" s="1"/>
  <c r="U224" i="10"/>
  <c r="G224" i="10" s="1"/>
  <c r="U36" i="10"/>
  <c r="G36" i="10" s="1"/>
  <c r="U226" i="10"/>
  <c r="G226" i="10" s="1"/>
  <c r="U227" i="10"/>
  <c r="G227" i="10" s="1"/>
  <c r="G320" i="22"/>
  <c r="AF8" i="22"/>
  <c r="L10" i="9" s="1"/>
  <c r="M10" i="9" s="1"/>
  <c r="AE8" i="22"/>
  <c r="F10" i="9" s="1"/>
  <c r="R321" i="10"/>
  <c r="R327" i="10" s="1"/>
  <c r="M320" i="22"/>
  <c r="S10" i="10"/>
  <c r="S321" i="10" s="1"/>
  <c r="G308" i="9"/>
  <c r="W308" i="10" s="1"/>
  <c r="G315" i="9"/>
  <c r="W315" i="10" s="1"/>
  <c r="X315" i="10" s="1"/>
  <c r="G319" i="9"/>
  <c r="W319" i="10" s="1"/>
  <c r="X319" i="10" s="1"/>
  <c r="R320" i="22"/>
  <c r="D10" i="10"/>
  <c r="Y320" i="22"/>
  <c r="AP320" i="22" l="1"/>
  <c r="E10" i="10"/>
  <c r="E321" i="10" s="1"/>
  <c r="AA49" i="13" s="1"/>
  <c r="AA50" i="13" s="1"/>
  <c r="D321" i="10"/>
  <c r="Z49" i="13" s="1"/>
  <c r="U321" i="10"/>
  <c r="U327" i="10" s="1"/>
  <c r="G10" i="9"/>
  <c r="W10" i="10" s="1"/>
  <c r="F321" i="9"/>
  <c r="F327" i="9" s="1"/>
  <c r="L321" i="9"/>
  <c r="L327" i="9" s="1"/>
  <c r="S327" i="10"/>
  <c r="AF320" i="22"/>
  <c r="AE320" i="22"/>
  <c r="X10" i="10" l="1"/>
  <c r="P47" i="13"/>
  <c r="P46" i="13"/>
  <c r="F10" i="10"/>
  <c r="F321" i="10" s="1"/>
  <c r="T321" i="10"/>
  <c r="T327" i="10" s="1"/>
  <c r="G10" i="10"/>
  <c r="G321" i="10" s="1"/>
  <c r="AC49" i="13" s="1"/>
  <c r="AC50" i="13" s="1"/>
  <c r="M321" i="9"/>
  <c r="M327" i="9" s="1"/>
  <c r="P49" i="13" l="1"/>
  <c r="P48" i="13"/>
  <c r="AB49" i="13"/>
  <c r="AB50" i="13" s="1"/>
  <c r="O187" i="9"/>
  <c r="Q187" i="9" s="1"/>
  <c r="O186" i="9"/>
  <c r="Q186" i="9" s="1"/>
  <c r="O85" i="9"/>
  <c r="Q85" i="9" s="1"/>
  <c r="O239" i="9"/>
  <c r="Q239" i="9" s="1"/>
  <c r="O204" i="9"/>
  <c r="Q204" i="9" s="1"/>
  <c r="O207" i="9"/>
  <c r="Q207" i="9" s="1"/>
  <c r="O76" i="9"/>
  <c r="Q76" i="9" s="1"/>
  <c r="O34" i="9"/>
  <c r="Q34" i="9" s="1"/>
  <c r="O176" i="9"/>
  <c r="Q176" i="9" s="1"/>
  <c r="O231" i="9"/>
  <c r="Q231" i="9" s="1"/>
  <c r="O92" i="9"/>
  <c r="Q92" i="9" s="1"/>
  <c r="O223" i="9"/>
  <c r="Q223" i="9" s="1"/>
  <c r="O168" i="9"/>
  <c r="Q168" i="9" s="1"/>
  <c r="O77" i="9"/>
  <c r="Q77" i="9" s="1"/>
  <c r="O284" i="9"/>
  <c r="Q284" i="9" s="1"/>
  <c r="O255" i="9"/>
  <c r="Q255" i="9" s="1"/>
  <c r="O114" i="9"/>
  <c r="Q114" i="9" s="1"/>
  <c r="O294" i="9"/>
  <c r="Q294" i="9" s="1"/>
  <c r="O89" i="9"/>
  <c r="Q89" i="9" s="1"/>
  <c r="O184" i="9"/>
  <c r="Q184" i="9" s="1"/>
  <c r="O292" i="9"/>
  <c r="Q292" i="9" s="1"/>
  <c r="O169" i="9"/>
  <c r="Q169" i="9" s="1"/>
  <c r="O134" i="9"/>
  <c r="Q134" i="9" s="1"/>
  <c r="O66" i="9"/>
  <c r="Q66" i="9" s="1"/>
  <c r="O31" i="9"/>
  <c r="Q31" i="9" s="1"/>
  <c r="O216" i="9"/>
  <c r="Q216" i="9" s="1"/>
  <c r="O190" i="9"/>
  <c r="Q190" i="9" s="1"/>
  <c r="O209" i="9"/>
  <c r="Q209" i="9" s="1"/>
  <c r="O183" i="9"/>
  <c r="Q183" i="9" s="1"/>
  <c r="O141" i="9"/>
  <c r="Q141" i="9" s="1"/>
  <c r="O277" i="9"/>
  <c r="Q277" i="9" s="1"/>
  <c r="O88" i="9"/>
  <c r="Q88" i="9" s="1"/>
  <c r="O180" i="9"/>
  <c r="Q180" i="9" s="1"/>
  <c r="O150" i="9"/>
  <c r="Q150" i="9" s="1"/>
  <c r="O151" i="9"/>
  <c r="Q151" i="9" s="1"/>
  <c r="O161" i="9"/>
  <c r="Q161" i="9" s="1"/>
  <c r="O119" i="9"/>
  <c r="Q119" i="9" s="1"/>
  <c r="O233" i="9"/>
  <c r="Q233" i="9" s="1"/>
  <c r="O16" i="9"/>
  <c r="Q16" i="9" s="1"/>
  <c r="O304" i="9"/>
  <c r="Q304" i="9" s="1"/>
  <c r="O220" i="9"/>
  <c r="Q220" i="9" s="1"/>
  <c r="O55" i="9"/>
  <c r="Q55" i="9" s="1"/>
  <c r="O47" i="9"/>
  <c r="Q47" i="9" s="1"/>
  <c r="O147" i="9"/>
  <c r="Q147" i="9" s="1"/>
  <c r="O310" i="9"/>
  <c r="Q310" i="9" s="1"/>
  <c r="O115" i="9"/>
  <c r="Q115" i="9" s="1"/>
  <c r="O103" i="9"/>
  <c r="Q103" i="9" s="1"/>
  <c r="O268" i="9"/>
  <c r="Q268" i="9" s="1"/>
  <c r="O57" i="9"/>
  <c r="Q57" i="9" s="1"/>
  <c r="O52" i="9"/>
  <c r="Q52" i="9" s="1"/>
  <c r="O274" i="9"/>
  <c r="Q274" i="9" s="1"/>
  <c r="O265" i="9"/>
  <c r="Q265" i="9" s="1"/>
  <c r="O49" i="9"/>
  <c r="Q49" i="9" s="1"/>
  <c r="O42" i="9"/>
  <c r="Q42" i="9" s="1"/>
  <c r="O19" i="9"/>
  <c r="Q19" i="9" s="1"/>
  <c r="O65" i="9"/>
  <c r="Q65" i="9" s="1"/>
  <c r="O130" i="9"/>
  <c r="Q130" i="9" s="1"/>
  <c r="O250" i="9"/>
  <c r="Q250" i="9" s="1"/>
  <c r="O240" i="9"/>
  <c r="Q240" i="9" s="1"/>
  <c r="O41" i="9"/>
  <c r="Q41" i="9" s="1"/>
  <c r="O264" i="9"/>
  <c r="Q264" i="9" s="1"/>
  <c r="O164" i="9"/>
  <c r="Q164" i="9" s="1"/>
  <c r="O13" i="9"/>
  <c r="Q13" i="9" s="1"/>
  <c r="O259" i="9"/>
  <c r="Q259" i="9" s="1"/>
  <c r="O285" i="9"/>
  <c r="Q285" i="9" s="1"/>
  <c r="O228" i="9"/>
  <c r="Q228" i="9" s="1"/>
  <c r="Q316" i="9"/>
  <c r="O133" i="9"/>
  <c r="Q133" i="9" s="1"/>
  <c r="O126" i="9"/>
  <c r="Q126" i="9" s="1"/>
  <c r="O308" i="9"/>
  <c r="Q308" i="9" s="1"/>
  <c r="O246" i="9"/>
  <c r="Q246" i="9" s="1"/>
  <c r="O140" i="9"/>
  <c r="Q140" i="9" s="1"/>
  <c r="O152" i="9"/>
  <c r="Q152" i="9" s="1"/>
  <c r="O98" i="9"/>
  <c r="Q98" i="9" s="1"/>
  <c r="O67" i="9"/>
  <c r="Q67" i="9" s="1"/>
  <c r="O154" i="9"/>
  <c r="Q154" i="9" s="1"/>
  <c r="Q317" i="9"/>
  <c r="O314" i="9"/>
  <c r="Q314" i="9" s="1"/>
  <c r="O182" i="9"/>
  <c r="Q182" i="9" s="1"/>
  <c r="O245" i="9"/>
  <c r="Q245" i="9" s="1"/>
  <c r="O254" i="9"/>
  <c r="Q254" i="9" s="1"/>
  <c r="O260" i="9"/>
  <c r="Q260" i="9" s="1"/>
  <c r="O278" i="9"/>
  <c r="Q278" i="9" s="1"/>
  <c r="O288" i="9"/>
  <c r="Q288" i="9" s="1"/>
  <c r="O109" i="9"/>
  <c r="Q109" i="9" s="1"/>
  <c r="O222" i="9"/>
  <c r="Q222" i="9" s="1"/>
  <c r="O44" i="9"/>
  <c r="Q44" i="9" s="1"/>
  <c r="O234" i="9"/>
  <c r="Q234" i="9" s="1"/>
  <c r="O249" i="9"/>
  <c r="Q249" i="9" s="1"/>
  <c r="O111" i="9"/>
  <c r="Q111" i="9" s="1"/>
  <c r="O157" i="9"/>
  <c r="Q157" i="9" s="1"/>
  <c r="O166" i="9"/>
  <c r="Q166" i="9" s="1"/>
  <c r="O101" i="9"/>
  <c r="Q101" i="9" s="1"/>
  <c r="O48" i="9"/>
  <c r="Q48" i="9" s="1"/>
  <c r="O219" i="9"/>
  <c r="Q219" i="9" s="1"/>
  <c r="O185" i="9"/>
  <c r="Q185" i="9" s="1"/>
  <c r="O40" i="9"/>
  <c r="Q40" i="9" s="1"/>
  <c r="O62" i="9"/>
  <c r="Q62" i="9" s="1"/>
  <c r="O73" i="9"/>
  <c r="Q73" i="9" s="1"/>
  <c r="O311" i="9"/>
  <c r="Q311" i="9" s="1"/>
  <c r="O286" i="9"/>
  <c r="Q286" i="9" s="1"/>
  <c r="O124" i="9"/>
  <c r="Q124" i="9" s="1"/>
  <c r="O122" i="9"/>
  <c r="Q122" i="9" s="1"/>
  <c r="O69" i="9"/>
  <c r="Q69" i="9" s="1"/>
  <c r="O78" i="9"/>
  <c r="Q78" i="9" s="1"/>
  <c r="O171" i="9"/>
  <c r="Q171" i="9" s="1"/>
  <c r="O144" i="9"/>
  <c r="Q144" i="9" s="1"/>
  <c r="O25" i="9"/>
  <c r="Q25" i="9" s="1"/>
  <c r="O75" i="9"/>
  <c r="Q75" i="9" s="1"/>
  <c r="O72" i="9"/>
  <c r="Q72" i="9" s="1"/>
  <c r="O313" i="9"/>
  <c r="Q313" i="9" s="1"/>
  <c r="O213" i="9"/>
  <c r="Q213" i="9" s="1"/>
  <c r="O32" i="9"/>
  <c r="Q32" i="9" s="1"/>
  <c r="O53" i="9"/>
  <c r="Q53" i="9" s="1"/>
  <c r="O229" i="9"/>
  <c r="Q229" i="9" s="1"/>
  <c r="O290" i="9"/>
  <c r="Q290" i="9" s="1"/>
  <c r="O296" i="9"/>
  <c r="Q296" i="9" s="1"/>
  <c r="O95" i="9"/>
  <c r="Q95" i="9" s="1"/>
  <c r="O270" i="9"/>
  <c r="Q270" i="9" s="1"/>
  <c r="O22" i="9"/>
  <c r="Q22" i="9" s="1"/>
  <c r="O153" i="9"/>
  <c r="Q153" i="9" s="1"/>
  <c r="O203" i="9"/>
  <c r="Q203" i="9" s="1"/>
  <c r="O212" i="9"/>
  <c r="Q212" i="9" s="1"/>
  <c r="O74" i="9"/>
  <c r="Q74" i="9" s="1"/>
  <c r="O162" i="9"/>
  <c r="Q162" i="9" s="1"/>
  <c r="O27" i="9"/>
  <c r="Q27" i="9" s="1"/>
  <c r="O282" i="9"/>
  <c r="Q282" i="9" s="1"/>
  <c r="O117" i="9"/>
  <c r="Q117" i="9" s="1"/>
  <c r="O202" i="9"/>
  <c r="Q202" i="9" s="1"/>
  <c r="O299" i="9"/>
  <c r="Q299" i="9" s="1"/>
  <c r="O135" i="9"/>
  <c r="Q135" i="9" s="1"/>
  <c r="O83" i="9"/>
  <c r="Q83" i="9" s="1"/>
  <c r="O90" i="9"/>
  <c r="Q90" i="9" s="1"/>
  <c r="O291" i="9"/>
  <c r="Q291" i="9" s="1"/>
  <c r="O158" i="9"/>
  <c r="Q158" i="9" s="1"/>
  <c r="O11" i="9"/>
  <c r="Q11" i="9" s="1"/>
  <c r="O280" i="9"/>
  <c r="Q280" i="9" s="1"/>
  <c r="O232" i="9"/>
  <c r="Q232" i="9" s="1"/>
  <c r="O68" i="9"/>
  <c r="Q68" i="9" s="1"/>
  <c r="O39" i="9"/>
  <c r="Q39" i="9" s="1"/>
  <c r="O28" i="9"/>
  <c r="Q28" i="9" s="1"/>
  <c r="O167" i="9"/>
  <c r="Q167" i="9" s="1"/>
  <c r="O112" i="9"/>
  <c r="Q112" i="9" s="1"/>
  <c r="O174" i="9"/>
  <c r="Q174" i="9" s="1"/>
  <c r="O105" i="9"/>
  <c r="Q105" i="9" s="1"/>
  <c r="O156" i="9"/>
  <c r="Q156" i="9" s="1"/>
  <c r="O50" i="9"/>
  <c r="Q50" i="9" s="1"/>
  <c r="O79" i="9"/>
  <c r="Q79" i="9" s="1"/>
  <c r="O191" i="9"/>
  <c r="Q191" i="9" s="1"/>
  <c r="O136" i="9"/>
  <c r="Q136" i="9" s="1"/>
  <c r="O26" i="9"/>
  <c r="Q26" i="9" s="1"/>
  <c r="O215" i="9"/>
  <c r="Q215" i="9" s="1"/>
  <c r="O218" i="9"/>
  <c r="Q218" i="9" s="1"/>
  <c r="O86" i="9"/>
  <c r="Q86" i="9" s="1"/>
  <c r="O108" i="9"/>
  <c r="Q108" i="9" s="1"/>
  <c r="O262" i="9"/>
  <c r="Q262" i="9" s="1"/>
  <c r="O33" i="9"/>
  <c r="Q33" i="9" s="1"/>
  <c r="O221" i="9"/>
  <c r="Q221" i="9" s="1"/>
  <c r="O138" i="9"/>
  <c r="Q138" i="9" s="1"/>
  <c r="O194" i="9"/>
  <c r="Q194" i="9" s="1"/>
  <c r="O173" i="9"/>
  <c r="Q173" i="9" s="1"/>
  <c r="O58" i="9"/>
  <c r="Q58" i="9" s="1"/>
  <c r="O303" i="9"/>
  <c r="Q303" i="9" s="1"/>
  <c r="O94" i="9"/>
  <c r="Q94" i="9" s="1"/>
  <c r="O43" i="9"/>
  <c r="Q43" i="9" s="1"/>
  <c r="O263" i="9"/>
  <c r="Q263" i="9" s="1"/>
  <c r="O214" i="9"/>
  <c r="Q214" i="9" s="1"/>
  <c r="O201" i="9"/>
  <c r="Q201" i="9" s="1"/>
  <c r="O297" i="9"/>
  <c r="Q297" i="9" s="1"/>
  <c r="O121" i="9"/>
  <c r="Q121" i="9" s="1"/>
  <c r="O247" i="9"/>
  <c r="Q247" i="9" s="1"/>
  <c r="O82" i="9"/>
  <c r="Q82" i="9" s="1"/>
  <c r="O96" i="9"/>
  <c r="Q96" i="9" s="1"/>
  <c r="O237" i="9"/>
  <c r="Q237" i="9" s="1"/>
  <c r="O139" i="9"/>
  <c r="Q139" i="9" s="1"/>
  <c r="O196" i="9"/>
  <c r="Q196" i="9" s="1"/>
  <c r="O305" i="9"/>
  <c r="Q305" i="9" s="1"/>
  <c r="O118" i="9"/>
  <c r="Q118" i="9" s="1"/>
  <c r="O137" i="9"/>
  <c r="Q137" i="9" s="1"/>
  <c r="O38" i="9"/>
  <c r="Q38" i="9" s="1"/>
  <c r="O251" i="9"/>
  <c r="Q251" i="9" s="1"/>
  <c r="O236" i="9"/>
  <c r="Q236" i="9" s="1"/>
  <c r="O123" i="9"/>
  <c r="Q123" i="9" s="1"/>
  <c r="O125" i="9"/>
  <c r="Q125" i="9" s="1"/>
  <c r="O243" i="9"/>
  <c r="Q243" i="9" s="1"/>
  <c r="O181" i="9"/>
  <c r="Q181" i="9" s="1"/>
  <c r="O30" i="9"/>
  <c r="Q30" i="9" s="1"/>
  <c r="O293" i="9"/>
  <c r="Q293" i="9" s="1"/>
  <c r="O279" i="9"/>
  <c r="Q279" i="9" s="1"/>
  <c r="O188" i="9"/>
  <c r="Q188" i="9" s="1"/>
  <c r="O21" i="9"/>
  <c r="Q21" i="9" s="1"/>
  <c r="O276" i="9"/>
  <c r="Q276" i="9" s="1"/>
  <c r="O24" i="9"/>
  <c r="Q24" i="9" s="1"/>
  <c r="O295" i="9"/>
  <c r="Q295" i="9" s="1"/>
  <c r="O142" i="9"/>
  <c r="Q142" i="9" s="1"/>
  <c r="O193" i="9"/>
  <c r="Q193" i="9" s="1"/>
  <c r="O54" i="9"/>
  <c r="Q54" i="9" s="1"/>
  <c r="O159" i="9"/>
  <c r="Q159" i="9" s="1"/>
  <c r="O99" i="9"/>
  <c r="Q99" i="9" s="1"/>
  <c r="O257" i="9"/>
  <c r="Q257" i="9" s="1"/>
  <c r="E26" i="31" s="1"/>
  <c r="E36" i="31" s="1"/>
  <c r="O256" i="9"/>
  <c r="Q256" i="9" s="1"/>
  <c r="O289" i="9"/>
  <c r="Q289" i="9" s="1"/>
  <c r="O160" i="9"/>
  <c r="Q160" i="9" s="1"/>
  <c r="O195" i="9"/>
  <c r="Q195" i="9" s="1"/>
  <c r="O258" i="9"/>
  <c r="Q258" i="9" s="1"/>
  <c r="O84" i="9"/>
  <c r="Q84" i="9" s="1"/>
  <c r="O23" i="9"/>
  <c r="Q23" i="9" s="1"/>
  <c r="O298" i="9"/>
  <c r="Q298" i="9" s="1"/>
  <c r="O29" i="9"/>
  <c r="Q29" i="9" s="1"/>
  <c r="O189" i="9"/>
  <c r="Q189" i="9" s="1"/>
  <c r="O163" i="9"/>
  <c r="Q163" i="9" s="1"/>
  <c r="O18" i="9"/>
  <c r="Q18" i="9" s="1"/>
  <c r="O97" i="9"/>
  <c r="Q97" i="9" s="1"/>
  <c r="O238" i="9"/>
  <c r="Q238" i="9" s="1"/>
  <c r="O252" i="9"/>
  <c r="Q252" i="9" s="1"/>
  <c r="O51" i="9"/>
  <c r="Q51" i="9" s="1"/>
  <c r="O120" i="9"/>
  <c r="Q120" i="9" s="1"/>
  <c r="O312" i="9"/>
  <c r="Q312" i="9" s="1"/>
  <c r="O301" i="9"/>
  <c r="Q301" i="9" s="1"/>
  <c r="O132" i="9"/>
  <c r="Q132" i="9" s="1"/>
  <c r="O266" i="9"/>
  <c r="Q266" i="9" s="1"/>
  <c r="O261" i="9"/>
  <c r="Q261" i="9" s="1"/>
  <c r="O242" i="9"/>
  <c r="Q242" i="9" s="1"/>
  <c r="O273" i="9"/>
  <c r="Q273" i="9" s="1"/>
  <c r="O217" i="9"/>
  <c r="Q217" i="9" s="1"/>
  <c r="O200" i="9"/>
  <c r="Q200" i="9" s="1"/>
  <c r="O104" i="9"/>
  <c r="Q104" i="9" s="1"/>
  <c r="O45" i="9"/>
  <c r="Q45" i="9" s="1"/>
  <c r="O155" i="9"/>
  <c r="Q155" i="9" s="1"/>
  <c r="O235" i="9"/>
  <c r="Q235" i="9" s="1"/>
  <c r="O148" i="9"/>
  <c r="Q148" i="9" s="1"/>
  <c r="O205" i="9"/>
  <c r="Q205" i="9" s="1"/>
  <c r="O199" i="9"/>
  <c r="Q199" i="9" s="1"/>
  <c r="O179" i="9"/>
  <c r="Q179" i="9" s="1"/>
  <c r="O206" i="9"/>
  <c r="Q206" i="9" s="1"/>
  <c r="O178" i="9"/>
  <c r="Q178" i="9" s="1"/>
  <c r="O93" i="9"/>
  <c r="Q93" i="9" s="1"/>
  <c r="O175" i="9"/>
  <c r="Q175" i="9" s="1"/>
  <c r="O302" i="9"/>
  <c r="Q302" i="9" s="1"/>
  <c r="O63" i="9"/>
  <c r="Q63" i="9" s="1"/>
  <c r="O91" i="9"/>
  <c r="Q91" i="9" s="1"/>
  <c r="O244" i="9"/>
  <c r="Q244" i="9" s="1"/>
  <c r="O275" i="9"/>
  <c r="Q275" i="9" s="1"/>
  <c r="O20" i="9"/>
  <c r="Q20" i="9" s="1"/>
  <c r="O177" i="9"/>
  <c r="Q177" i="9" s="1"/>
  <c r="O306" i="9"/>
  <c r="Q306" i="9" s="1"/>
  <c r="O281" i="9"/>
  <c r="Q281" i="9" s="1"/>
  <c r="O37" i="9"/>
  <c r="Q37" i="9" s="1"/>
  <c r="O269" i="9"/>
  <c r="Q269" i="9" s="1"/>
  <c r="O230" i="9"/>
  <c r="Q230" i="9" s="1"/>
  <c r="O165" i="9"/>
  <c r="Q165" i="9" s="1"/>
  <c r="O287" i="9"/>
  <c r="Q287" i="9" s="1"/>
  <c r="O128" i="9"/>
  <c r="Q128" i="9" s="1"/>
  <c r="O225" i="9"/>
  <c r="Q225" i="9" s="1"/>
  <c r="O143" i="9"/>
  <c r="Q143" i="9" s="1"/>
  <c r="O129" i="9"/>
  <c r="Q129" i="9" s="1"/>
  <c r="O87" i="9"/>
  <c r="Q87" i="9" s="1"/>
  <c r="O208" i="9"/>
  <c r="Q208" i="9" s="1"/>
  <c r="O71" i="9"/>
  <c r="Q71" i="9" s="1"/>
  <c r="O46" i="9"/>
  <c r="Q46" i="9" s="1"/>
  <c r="O14" i="9"/>
  <c r="Q14" i="9" s="1"/>
  <c r="O17" i="9"/>
  <c r="Q17" i="9" s="1"/>
  <c r="O81" i="9"/>
  <c r="Q81" i="9" s="1"/>
  <c r="O80" i="9"/>
  <c r="Q80" i="9" s="1"/>
  <c r="O172" i="9"/>
  <c r="Q172" i="9" s="1"/>
  <c r="O149" i="9"/>
  <c r="Q149" i="9" s="1"/>
  <c r="O145" i="9"/>
  <c r="Q145" i="9" s="1"/>
  <c r="O56" i="9"/>
  <c r="Q56" i="9" s="1"/>
  <c r="O131" i="9"/>
  <c r="Q131" i="9" s="1"/>
  <c r="O59" i="9"/>
  <c r="Q59" i="9" s="1"/>
  <c r="O271" i="9"/>
  <c r="Q271" i="9" s="1"/>
  <c r="O116" i="9"/>
  <c r="Q116" i="9" s="1"/>
  <c r="O102" i="9"/>
  <c r="Q102" i="9" s="1"/>
  <c r="O60" i="9"/>
  <c r="Q60" i="9" s="1"/>
  <c r="O272" i="9"/>
  <c r="Q272" i="9" s="1"/>
  <c r="O100" i="9"/>
  <c r="Q100" i="9" s="1"/>
  <c r="O70" i="9"/>
  <c r="Q70" i="9" s="1"/>
  <c r="O309" i="9"/>
  <c r="Q309" i="9" s="1"/>
  <c r="O248" i="9"/>
  <c r="Q248" i="9" s="1"/>
  <c r="O36" i="9"/>
  <c r="Q36" i="9" s="1"/>
  <c r="O211" i="9"/>
  <c r="Q211" i="9" s="1"/>
  <c r="O300" i="9"/>
  <c r="Q300" i="9" s="1"/>
  <c r="O12" i="9"/>
  <c r="Q12" i="9" s="1"/>
  <c r="O35" i="9"/>
  <c r="Q35" i="9" s="1"/>
  <c r="O224" i="9"/>
  <c r="Q224" i="9" s="1"/>
  <c r="O64" i="9"/>
  <c r="Q64" i="9" s="1"/>
  <c r="O146" i="9"/>
  <c r="Q146" i="9" s="1"/>
  <c r="O127" i="9"/>
  <c r="Q127" i="9" s="1"/>
  <c r="O226" i="9"/>
  <c r="Q226" i="9" s="1"/>
  <c r="O192" i="9"/>
  <c r="Q192" i="9" s="1"/>
  <c r="O15" i="9"/>
  <c r="Q15" i="9" s="1"/>
  <c r="O61" i="9"/>
  <c r="Q61" i="9" s="1"/>
  <c r="O241" i="9"/>
  <c r="Q241" i="9" s="1"/>
  <c r="O210" i="9"/>
  <c r="Q210" i="9" s="1"/>
  <c r="O170" i="9"/>
  <c r="Q170" i="9" s="1"/>
  <c r="O110" i="9"/>
  <c r="Q110" i="9" s="1"/>
  <c r="O283" i="9"/>
  <c r="Q283" i="9" s="1"/>
  <c r="O227" i="9"/>
  <c r="Q227" i="9" s="1"/>
  <c r="O307" i="9"/>
  <c r="Q307" i="9" s="1"/>
  <c r="O327" i="9" l="1"/>
  <c r="Q10" i="9"/>
  <c r="Q327" i="9" l="1"/>
  <c r="G288" i="9"/>
  <c r="W288" i="10" s="1"/>
  <c r="G305" i="9"/>
  <c r="W305" i="10" s="1"/>
  <c r="G109" i="9"/>
  <c r="W109" i="10" s="1"/>
  <c r="G248" i="9"/>
  <c r="W248" i="10" s="1"/>
  <c r="G276" i="9"/>
  <c r="W276" i="10" s="1"/>
  <c r="G87" i="9"/>
  <c r="W87" i="10" s="1"/>
  <c r="G221" i="9"/>
  <c r="W221" i="10" s="1"/>
  <c r="G63" i="9"/>
  <c r="W63" i="10" s="1"/>
  <c r="G227" i="9"/>
  <c r="W227" i="10" s="1"/>
  <c r="G138" i="9"/>
  <c r="W138" i="10" s="1"/>
  <c r="G272" i="9"/>
  <c r="W272" i="10" s="1"/>
  <c r="G241" i="9"/>
  <c r="W241" i="10" s="1"/>
  <c r="G259" i="9"/>
  <c r="W259" i="10" s="1"/>
  <c r="G98" i="9"/>
  <c r="W98" i="10" s="1"/>
  <c r="G233" i="9"/>
  <c r="W233" i="10" s="1"/>
  <c r="G206" i="9"/>
  <c r="W206" i="10" s="1"/>
  <c r="G314" i="9"/>
  <c r="W314" i="10" s="1"/>
  <c r="G126" i="9"/>
  <c r="W126" i="10" s="1"/>
  <c r="G94" i="9"/>
  <c r="W94" i="10" s="1"/>
  <c r="G133" i="9"/>
  <c r="W133" i="10" s="1"/>
  <c r="G195" i="9"/>
  <c r="W195" i="10" s="1"/>
  <c r="G112" i="9"/>
  <c r="W112" i="10" s="1"/>
  <c r="G60" i="9"/>
  <c r="W60" i="10" s="1"/>
  <c r="G130" i="9"/>
  <c r="W130" i="10" s="1"/>
  <c r="G263" i="9"/>
  <c r="W263" i="10" s="1"/>
  <c r="G51" i="9"/>
  <c r="W51" i="10" s="1"/>
  <c r="W107" i="10"/>
  <c r="G116" i="9"/>
  <c r="W116" i="10" s="1"/>
  <c r="G146" i="9"/>
  <c r="W146" i="10" s="1"/>
  <c r="G83" i="9"/>
  <c r="W83" i="10" s="1"/>
  <c r="G239" i="9"/>
  <c r="W239" i="10" s="1"/>
  <c r="G298" i="9"/>
  <c r="W298" i="10" s="1"/>
  <c r="G274" i="9"/>
  <c r="W274" i="10" s="1"/>
  <c r="G260" i="9"/>
  <c r="W260" i="10" s="1"/>
  <c r="G157" i="9"/>
  <c r="W157" i="10" s="1"/>
  <c r="G61" i="9"/>
  <c r="W61" i="10" s="1"/>
  <c r="G176" i="9"/>
  <c r="W176" i="10" s="1"/>
  <c r="G99" i="9"/>
  <c r="W99" i="10" s="1"/>
  <c r="G11" i="9"/>
  <c r="W11" i="10" s="1"/>
  <c r="G304" i="9"/>
  <c r="W304" i="10" s="1"/>
  <c r="G278" i="9"/>
  <c r="W278" i="10" s="1"/>
  <c r="G96" i="9"/>
  <c r="W96" i="10" s="1"/>
  <c r="G211" i="9"/>
  <c r="W211" i="10" s="1"/>
  <c r="G68" i="9"/>
  <c r="W68" i="10" s="1"/>
  <c r="G181" i="9"/>
  <c r="W181" i="10" s="1"/>
  <c r="G290" i="9"/>
  <c r="W290" i="10" s="1"/>
  <c r="G230" i="9"/>
  <c r="W230" i="10" s="1"/>
  <c r="G317" i="9"/>
  <c r="W317" i="10" s="1"/>
  <c r="G310" i="9"/>
  <c r="W310" i="10" s="1"/>
  <c r="G12" i="9"/>
  <c r="W12" i="10" s="1"/>
  <c r="G64" i="9"/>
  <c r="W64" i="10" s="1"/>
  <c r="G231" i="9"/>
  <c r="W231" i="10" s="1"/>
  <c r="G261" i="9"/>
  <c r="W261" i="10" s="1"/>
  <c r="G219" i="9"/>
  <c r="W219" i="10" s="1"/>
  <c r="G262" i="9"/>
  <c r="W262" i="10" s="1"/>
  <c r="G244" i="9"/>
  <c r="W244" i="10" s="1"/>
  <c r="G62" i="9"/>
  <c r="W62" i="10" s="1"/>
  <c r="G222" i="9"/>
  <c r="W222" i="10" s="1"/>
  <c r="G54" i="9"/>
  <c r="W54" i="10" s="1"/>
  <c r="G295" i="9"/>
  <c r="W295" i="10" s="1"/>
  <c r="G46" i="9"/>
  <c r="W46" i="10" s="1"/>
  <c r="G279" i="9"/>
  <c r="W279" i="10" s="1"/>
  <c r="G16" i="9"/>
  <c r="W16" i="10" s="1"/>
  <c r="G280" i="9"/>
  <c r="W280" i="10" s="1"/>
  <c r="G93" i="9"/>
  <c r="W93" i="10" s="1"/>
  <c r="G57" i="9"/>
  <c r="W57" i="10" s="1"/>
  <c r="G69" i="9"/>
  <c r="W69" i="10" s="1"/>
  <c r="G78" i="9"/>
  <c r="W78" i="10" s="1"/>
  <c r="G203" i="9"/>
  <c r="W203" i="10" s="1"/>
  <c r="G300" i="9"/>
  <c r="W300" i="10" s="1"/>
  <c r="G100" i="9"/>
  <c r="W100" i="10" s="1"/>
  <c r="G139" i="9"/>
  <c r="W139" i="10" s="1"/>
  <c r="G121" i="9"/>
  <c r="W121" i="10" s="1"/>
  <c r="G118" i="9"/>
  <c r="W118" i="10" s="1"/>
  <c r="G270" i="9"/>
  <c r="W270" i="10" s="1"/>
  <c r="G19" i="9"/>
  <c r="W19" i="10" s="1"/>
  <c r="G114" i="9"/>
  <c r="W114" i="10" s="1"/>
  <c r="G207" i="9"/>
  <c r="W207" i="10" s="1"/>
  <c r="G199" i="9"/>
  <c r="W199" i="10" s="1"/>
  <c r="G234" i="9"/>
  <c r="W234" i="10" s="1"/>
  <c r="G209" i="9"/>
  <c r="W209" i="10" s="1"/>
  <c r="G177" i="9"/>
  <c r="W177" i="10" s="1"/>
  <c r="G108" i="9"/>
  <c r="W108" i="10" s="1"/>
  <c r="G178" i="9"/>
  <c r="W178" i="10" s="1"/>
  <c r="G169" i="9"/>
  <c r="W169" i="10" s="1"/>
  <c r="G38" i="9"/>
  <c r="W38" i="10" s="1"/>
  <c r="G128" i="9"/>
  <c r="W128" i="10" s="1"/>
  <c r="G115" i="9"/>
  <c r="W115" i="10" s="1"/>
  <c r="G158" i="9"/>
  <c r="W158" i="10" s="1"/>
  <c r="G284" i="9" l="1"/>
  <c r="W284" i="10" s="1"/>
  <c r="G281" i="9"/>
  <c r="W281" i="10" s="1"/>
  <c r="G143" i="9"/>
  <c r="W143" i="10" s="1"/>
  <c r="G173" i="9"/>
  <c r="W173" i="10" s="1"/>
  <c r="G74" i="9"/>
  <c r="W74" i="10" s="1"/>
  <c r="G306" i="9"/>
  <c r="W306" i="10" s="1"/>
  <c r="G119" i="9"/>
  <c r="W119" i="10" s="1"/>
  <c r="G228" i="9"/>
  <c r="W228" i="10" s="1"/>
  <c r="G213" i="9"/>
  <c r="W213" i="10" s="1"/>
  <c r="G22" i="9"/>
  <c r="W22" i="10" s="1"/>
  <c r="G142" i="9"/>
  <c r="W142" i="10" s="1"/>
  <c r="G249" i="9"/>
  <c r="W249" i="10" s="1"/>
  <c r="G13" i="9"/>
  <c r="W13" i="10" s="1"/>
  <c r="G236" i="9"/>
  <c r="W236" i="10" s="1"/>
  <c r="G56" i="9"/>
  <c r="W56" i="10" s="1"/>
  <c r="G91" i="9"/>
  <c r="W91" i="10" s="1"/>
  <c r="G21" i="9"/>
  <c r="W21" i="10" s="1"/>
  <c r="G301" i="9"/>
  <c r="W301" i="10" s="1"/>
  <c r="G73" i="9"/>
  <c r="W73" i="10" s="1"/>
  <c r="G81" i="9"/>
  <c r="W81" i="10" s="1"/>
  <c r="G24" i="9"/>
  <c r="W24" i="10" s="1"/>
  <c r="G75" i="9"/>
  <c r="W75" i="10" s="1"/>
  <c r="G294" i="9"/>
  <c r="W294" i="10" s="1"/>
  <c r="G275" i="9"/>
  <c r="W275" i="10" s="1"/>
  <c r="G37" i="9"/>
  <c r="W37" i="10" s="1"/>
  <c r="G183" i="9"/>
  <c r="W183" i="10" s="1"/>
  <c r="G152" i="9"/>
  <c r="W152" i="10" s="1"/>
  <c r="G122" i="9"/>
  <c r="W122" i="10" s="1"/>
  <c r="G250" i="9"/>
  <c r="W250" i="10" s="1"/>
  <c r="G125" i="9"/>
  <c r="W125" i="10" s="1"/>
  <c r="G32" i="9"/>
  <c r="W32" i="10" s="1"/>
  <c r="G171" i="9"/>
  <c r="W171" i="10" s="1"/>
  <c r="G266" i="9"/>
  <c r="W266" i="10" s="1"/>
  <c r="G214" i="9"/>
  <c r="W214" i="10" s="1"/>
  <c r="G162" i="9"/>
  <c r="W162" i="10" s="1"/>
  <c r="G14" i="9"/>
  <c r="W14" i="10" s="1"/>
  <c r="G76" i="9"/>
  <c r="W76" i="10" s="1"/>
  <c r="G282" i="9"/>
  <c r="W282" i="10" s="1"/>
  <c r="G268" i="9"/>
  <c r="W268" i="10" s="1"/>
  <c r="G153" i="9"/>
  <c r="W153" i="10" s="1"/>
  <c r="G134" i="9"/>
  <c r="W134" i="10" s="1"/>
  <c r="G35" i="9"/>
  <c r="W35" i="10" s="1"/>
  <c r="G90" i="9"/>
  <c r="W90" i="10" s="1"/>
  <c r="G86" i="9"/>
  <c r="W86" i="10" s="1"/>
  <c r="G271" i="9"/>
  <c r="W271" i="10" s="1"/>
  <c r="G240" i="9"/>
  <c r="W240" i="10" s="1"/>
  <c r="G193" i="9"/>
  <c r="W193" i="10" s="1"/>
  <c r="G155" i="9"/>
  <c r="W155" i="10" s="1"/>
  <c r="G184" i="9"/>
  <c r="W184" i="10" s="1"/>
  <c r="G95" i="9"/>
  <c r="W95" i="10" s="1"/>
  <c r="G104" i="9"/>
  <c r="W104" i="10" s="1"/>
  <c r="G160" i="9"/>
  <c r="W160" i="10" s="1"/>
  <c r="G52" i="9"/>
  <c r="W52" i="10" s="1"/>
  <c r="G156" i="9"/>
  <c r="W156" i="10" s="1"/>
  <c r="G97" i="9"/>
  <c r="W97" i="10" s="1"/>
  <c r="G135" i="9"/>
  <c r="W135" i="10" s="1"/>
  <c r="G29" i="9"/>
  <c r="W29" i="10" s="1"/>
  <c r="G82" i="9"/>
  <c r="W82" i="10" s="1"/>
  <c r="G92" i="9"/>
  <c r="W92" i="10" s="1"/>
  <c r="G202" i="9"/>
  <c r="W202" i="10" s="1"/>
  <c r="G303" i="9"/>
  <c r="W303" i="10" s="1"/>
  <c r="G299" i="9"/>
  <c r="W299" i="10" s="1"/>
  <c r="G265" i="9"/>
  <c r="W265" i="10" s="1"/>
  <c r="G117" i="9"/>
  <c r="W117" i="10" s="1"/>
  <c r="G124" i="9"/>
  <c r="W124" i="10" s="1"/>
  <c r="G188" i="9"/>
  <c r="W188" i="10" s="1"/>
  <c r="G105" i="9"/>
  <c r="W105" i="10" s="1"/>
  <c r="G252" i="9"/>
  <c r="W252" i="10" s="1"/>
  <c r="G103" i="9"/>
  <c r="W103" i="10" s="1"/>
  <c r="G180" i="9"/>
  <c r="W180" i="10" s="1"/>
  <c r="G163" i="9"/>
  <c r="W163" i="10" s="1"/>
  <c r="G15" i="9"/>
  <c r="W15" i="10" s="1"/>
  <c r="G150" i="9"/>
  <c r="W150" i="10" s="1"/>
  <c r="G154" i="9"/>
  <c r="W154" i="10" s="1"/>
  <c r="G210" i="9"/>
  <c r="W210" i="10" s="1"/>
  <c r="G123" i="9"/>
  <c r="W123" i="10" s="1"/>
  <c r="G172" i="9"/>
  <c r="W172" i="10" s="1"/>
  <c r="G149" i="9"/>
  <c r="W149" i="10" s="1"/>
  <c r="G111" i="9"/>
  <c r="W111" i="10" s="1"/>
  <c r="G167" i="9"/>
  <c r="W167" i="10" s="1"/>
  <c r="G189" i="9"/>
  <c r="W189" i="10" s="1"/>
  <c r="G186" i="9"/>
  <c r="W186" i="10" s="1"/>
  <c r="G120" i="9"/>
  <c r="W120" i="10" s="1"/>
  <c r="G174" i="9"/>
  <c r="W174" i="10" s="1"/>
  <c r="G218" i="9"/>
  <c r="W218" i="10" s="1"/>
  <c r="G208" i="9"/>
  <c r="W208" i="10" s="1"/>
  <c r="G161" i="9"/>
  <c r="W161" i="10" s="1"/>
  <c r="G237" i="9"/>
  <c r="W237" i="10" s="1"/>
  <c r="G224" i="9"/>
  <c r="W224" i="10" s="1"/>
  <c r="G196" i="9"/>
  <c r="W196" i="10" s="1"/>
  <c r="G101" i="9"/>
  <c r="W101" i="10" s="1"/>
  <c r="G84" i="9"/>
  <c r="W84" i="10" s="1"/>
  <c r="G33" i="9"/>
  <c r="W33" i="10" s="1"/>
  <c r="G88" i="9"/>
  <c r="W88" i="10" s="1"/>
  <c r="G80" i="9"/>
  <c r="W80" i="10" s="1"/>
  <c r="G65" i="9"/>
  <c r="W65" i="10" s="1"/>
  <c r="G269" i="9"/>
  <c r="W269" i="10" s="1"/>
  <c r="G192" i="9"/>
  <c r="W192" i="10" s="1"/>
  <c r="G217" i="9"/>
  <c r="W217" i="10" s="1"/>
  <c r="G30" i="9"/>
  <c r="W30" i="10" s="1"/>
  <c r="G137" i="9"/>
  <c r="W137" i="10" s="1"/>
  <c r="G43" i="9"/>
  <c r="W43" i="10" s="1"/>
  <c r="G55" i="9"/>
  <c r="W55" i="10" s="1"/>
  <c r="G67" i="9"/>
  <c r="W67" i="10" s="1"/>
  <c r="G292" i="9"/>
  <c r="W292" i="10" s="1"/>
  <c r="G182" i="9"/>
  <c r="W182" i="10" s="1"/>
  <c r="G170" i="9"/>
  <c r="W170" i="10" s="1"/>
  <c r="G215" i="9"/>
  <c r="W215" i="10" s="1"/>
  <c r="G246" i="9"/>
  <c r="W246" i="10" s="1"/>
  <c r="G283" i="9"/>
  <c r="W283" i="10" s="1"/>
  <c r="G247" i="9"/>
  <c r="W247" i="10" s="1"/>
  <c r="G296" i="9"/>
  <c r="W296" i="10" s="1"/>
  <c r="G316" i="9"/>
  <c r="W316" i="10" s="1"/>
  <c r="G165" i="9"/>
  <c r="W165" i="10" s="1"/>
  <c r="G141" i="9"/>
  <c r="W141" i="10" s="1"/>
  <c r="G42" i="9"/>
  <c r="W42" i="10" s="1"/>
  <c r="G136" i="9"/>
  <c r="W136" i="10" s="1"/>
  <c r="G17" i="9"/>
  <c r="W17" i="10" s="1"/>
  <c r="G77" i="9"/>
  <c r="W77" i="10" s="1"/>
  <c r="G164" i="9"/>
  <c r="W164" i="10" s="1"/>
  <c r="G220" i="9"/>
  <c r="W220" i="10" s="1"/>
  <c r="G293" i="9"/>
  <c r="W293" i="10" s="1"/>
  <c r="G256" i="9"/>
  <c r="W256" i="10" s="1"/>
  <c r="G44" i="9"/>
  <c r="W44" i="10" s="1"/>
  <c r="G144" i="9"/>
  <c r="W144" i="10" s="1"/>
  <c r="G36" i="9"/>
  <c r="W36" i="10" s="1"/>
  <c r="G286" i="9"/>
  <c r="W286" i="10" s="1"/>
  <c r="G49" i="9"/>
  <c r="W49" i="10" s="1"/>
  <c r="G302" i="9"/>
  <c r="W302" i="10" s="1"/>
  <c r="G223" i="9"/>
  <c r="W223" i="10" s="1"/>
  <c r="G307" i="9"/>
  <c r="W307" i="10" s="1"/>
  <c r="G25" i="9"/>
  <c r="W25" i="10" s="1"/>
  <c r="G216" i="9"/>
  <c r="W216" i="10" s="1"/>
  <c r="G285" i="9"/>
  <c r="W285" i="10" s="1"/>
  <c r="G40" i="9"/>
  <c r="W40" i="10" s="1"/>
  <c r="G190" i="9"/>
  <c r="W190" i="10" s="1"/>
  <c r="G309" i="9"/>
  <c r="W309" i="10" s="1"/>
  <c r="G145" i="9"/>
  <c r="W145" i="10" s="1"/>
  <c r="G258" i="9"/>
  <c r="W258" i="10" s="1"/>
  <c r="G28" i="9"/>
  <c r="W28" i="10" s="1"/>
  <c r="G151" i="9"/>
  <c r="W151" i="10" s="1"/>
  <c r="G245" i="9"/>
  <c r="W245" i="10" s="1"/>
  <c r="G287" i="9"/>
  <c r="W287" i="10" s="1"/>
  <c r="G27" i="9"/>
  <c r="W27" i="10" s="1"/>
  <c r="G205" i="9"/>
  <c r="W205" i="10" s="1"/>
  <c r="G41" i="9"/>
  <c r="W41" i="10" s="1"/>
  <c r="G129" i="9"/>
  <c r="W129" i="10" s="1"/>
  <c r="G277" i="9"/>
  <c r="W277" i="10" s="1"/>
  <c r="G31" i="9"/>
  <c r="W31" i="10" s="1"/>
  <c r="G179" i="9"/>
  <c r="W179" i="10" s="1"/>
  <c r="G159" i="9"/>
  <c r="W159" i="10" s="1"/>
  <c r="G89" i="9"/>
  <c r="W89" i="10" s="1"/>
  <c r="G53" i="9"/>
  <c r="W53" i="10" s="1"/>
  <c r="G191" i="9"/>
  <c r="W191" i="10" s="1"/>
  <c r="G66" i="9"/>
  <c r="W66" i="10" s="1"/>
  <c r="G297" i="9"/>
  <c r="W297" i="10" s="1"/>
  <c r="G312" i="9"/>
  <c r="W312" i="10" s="1"/>
  <c r="G26" i="9"/>
  <c r="W26" i="10" s="1"/>
  <c r="G311" i="9"/>
  <c r="W311" i="10" s="1"/>
  <c r="G50" i="9"/>
  <c r="W50" i="10" s="1"/>
  <c r="G59" i="9"/>
  <c r="W59" i="10" s="1"/>
  <c r="G47" i="9"/>
  <c r="W47" i="10" s="1"/>
  <c r="G70" i="9"/>
  <c r="W70" i="10" s="1"/>
  <c r="G20" i="9"/>
  <c r="W20" i="10" s="1"/>
  <c r="G132" i="9"/>
  <c r="W132" i="10" s="1"/>
  <c r="G85" i="9"/>
  <c r="W85" i="10" s="1"/>
  <c r="G242" i="9"/>
  <c r="W242" i="10" s="1"/>
  <c r="G131" i="9"/>
  <c r="W131" i="10" s="1"/>
  <c r="G48" i="9"/>
  <c r="W48" i="10" s="1"/>
  <c r="G204" i="9"/>
  <c r="W204" i="10" s="1"/>
  <c r="G72" i="9"/>
  <c r="W72" i="10" s="1"/>
  <c r="G168" i="9"/>
  <c r="W168" i="10" s="1"/>
  <c r="G110" i="9"/>
  <c r="W110" i="10" s="1"/>
  <c r="G187" i="9"/>
  <c r="W187" i="10" s="1"/>
  <c r="G273" i="9"/>
  <c r="W273" i="10" s="1"/>
  <c r="G235" i="9"/>
  <c r="W235" i="10" s="1"/>
  <c r="G291" i="9"/>
  <c r="W291" i="10" s="1"/>
  <c r="G201" i="9"/>
  <c r="W201" i="10" s="1"/>
  <c r="G238" i="9"/>
  <c r="W238" i="10" s="1"/>
  <c r="G225" i="9"/>
  <c r="W225" i="10" s="1"/>
  <c r="G289" i="9"/>
  <c r="W289" i="10" s="1"/>
  <c r="G200" i="9"/>
  <c r="W200" i="10" s="1"/>
  <c r="G257" i="9"/>
  <c r="G226" i="9"/>
  <c r="W226" i="10" s="1"/>
  <c r="G264" i="9"/>
  <c r="W264" i="10" s="1"/>
  <c r="G243" i="9"/>
  <c r="W243" i="10" s="1"/>
  <c r="G39" i="9"/>
  <c r="W39" i="10" s="1"/>
  <c r="G194" i="9"/>
  <c r="W194" i="10" s="1"/>
  <c r="G255" i="9"/>
  <c r="W255" i="10" s="1"/>
  <c r="G45" i="9"/>
  <c r="W45" i="10" s="1"/>
  <c r="G212" i="9"/>
  <c r="W212" i="10" s="1"/>
  <c r="G23" i="9"/>
  <c r="W23" i="10" s="1"/>
  <c r="G166" i="9"/>
  <c r="W166" i="10" s="1"/>
  <c r="G148" i="9"/>
  <c r="W148" i="10" s="1"/>
  <c r="G140" i="9"/>
  <c r="W140" i="10" s="1"/>
  <c r="G79" i="9"/>
  <c r="W79" i="10" s="1"/>
  <c r="G147" i="9"/>
  <c r="W147" i="10" s="1"/>
  <c r="G18" i="9"/>
  <c r="W18" i="10" s="1"/>
  <c r="G251" i="9"/>
  <c r="W251" i="10" s="1"/>
  <c r="G185" i="9"/>
  <c r="W185" i="10" s="1"/>
  <c r="G34" i="9"/>
  <c r="W34" i="10" s="1"/>
  <c r="G58" i="9"/>
  <c r="W58" i="10" s="1"/>
  <c r="G254" i="9"/>
  <c r="W254" i="10" s="1"/>
  <c r="G102" i="9"/>
  <c r="W102" i="10" s="1"/>
  <c r="G71" i="9"/>
  <c r="W71" i="10" s="1"/>
  <c r="G313" i="9"/>
  <c r="W313" i="10" s="1"/>
  <c r="X313" i="10" s="1"/>
  <c r="G232" i="9"/>
  <c r="W232" i="10" s="1"/>
  <c r="G229" i="9"/>
  <c r="W229" i="10" s="1"/>
  <c r="G175" i="9"/>
  <c r="W175" i="10" s="1"/>
  <c r="G127" i="9"/>
  <c r="W127" i="10" s="1"/>
  <c r="W257" i="10" l="1"/>
  <c r="E22" i="31"/>
  <c r="E35" i="31" s="1"/>
  <c r="E37" i="31" s="1"/>
  <c r="G321" i="9"/>
  <c r="X293" i="10"/>
  <c r="X262" i="10"/>
  <c r="X212" i="10"/>
  <c r="X90" i="10"/>
  <c r="X168" i="10"/>
  <c r="X151" i="10"/>
  <c r="X77" i="10"/>
  <c r="X142" i="10"/>
  <c r="X178" i="10"/>
  <c r="X194" i="10"/>
  <c r="X219" i="10"/>
  <c r="X116" i="10"/>
  <c r="X65" i="10"/>
  <c r="X274" i="10"/>
  <c r="X120" i="10"/>
  <c r="X281" i="10"/>
  <c r="X51" i="10"/>
  <c r="X98" i="10"/>
  <c r="X47" i="10"/>
  <c r="X35" i="10"/>
  <c r="X69" i="10"/>
  <c r="X146" i="10"/>
  <c r="X303" i="10"/>
  <c r="X193" i="10"/>
  <c r="X192" i="10"/>
  <c r="X186" i="10"/>
  <c r="X306" i="10"/>
  <c r="X254" i="10"/>
  <c r="X311" i="10"/>
  <c r="X89" i="10"/>
  <c r="X119" i="10"/>
  <c r="X78" i="10"/>
  <c r="X206" i="10"/>
  <c r="X101" i="10"/>
  <c r="X42" i="10"/>
  <c r="X72" i="10"/>
  <c r="X18" i="10"/>
  <c r="X288" i="10"/>
  <c r="X282" i="10"/>
  <c r="X223" i="10"/>
  <c r="X155" i="10"/>
  <c r="X124" i="10"/>
  <c r="X25" i="10"/>
  <c r="X236" i="10"/>
  <c r="X256" i="10"/>
  <c r="X54" i="10"/>
  <c r="X231" i="10"/>
  <c r="X109" i="10"/>
  <c r="X183" i="10"/>
  <c r="X251" i="10"/>
  <c r="X230" i="10"/>
  <c r="X17" i="10"/>
  <c r="X305" i="10"/>
  <c r="X224" i="10"/>
  <c r="X226" i="10"/>
  <c r="X58" i="10"/>
  <c r="X125" i="10"/>
  <c r="X138" i="10"/>
  <c r="X21" i="10"/>
  <c r="Q11" i="10"/>
  <c r="X11" i="10" s="1"/>
  <c r="X203" i="10"/>
  <c r="X79" i="10"/>
  <c r="X188" i="10"/>
  <c r="X216" i="10"/>
  <c r="X147" i="10"/>
  <c r="X317" i="10"/>
  <c r="X130" i="10"/>
  <c r="X53" i="10"/>
  <c r="X217" i="10"/>
  <c r="X46" i="10"/>
  <c r="X169" i="10"/>
  <c r="X15" i="10"/>
  <c r="X143" i="10"/>
  <c r="X118" i="10"/>
  <c r="X13" i="10"/>
  <c r="X182" i="10"/>
  <c r="X241" i="10"/>
  <c r="X73" i="10"/>
  <c r="X135" i="10"/>
  <c r="X122" i="10"/>
  <c r="X233" i="10"/>
  <c r="X222" i="10"/>
  <c r="X156" i="10"/>
  <c r="X176" i="10"/>
  <c r="X99" i="10"/>
  <c r="X62" i="10"/>
  <c r="X37" i="10"/>
  <c r="X30" i="10"/>
  <c r="X153" i="10"/>
  <c r="X208" i="10"/>
  <c r="C313" i="10"/>
  <c r="X136" i="10"/>
  <c r="X286" i="10"/>
  <c r="X52" i="10"/>
  <c r="X114" i="10"/>
  <c r="X165" i="10"/>
  <c r="X207" i="10"/>
  <c r="X243" i="10"/>
  <c r="X81" i="10"/>
  <c r="X283" i="10"/>
  <c r="X268" i="10"/>
  <c r="X66" i="10"/>
  <c r="X266" i="10"/>
  <c r="X84" i="10"/>
  <c r="X242" i="10"/>
  <c r="X289" i="10"/>
  <c r="X275" i="10"/>
  <c r="X48" i="10"/>
  <c r="X74" i="10"/>
  <c r="X20" i="10"/>
  <c r="X213" i="10"/>
  <c r="X258" i="10"/>
  <c r="X171" i="10"/>
  <c r="X56" i="10"/>
  <c r="X312" i="10"/>
  <c r="X295" i="10"/>
  <c r="X44" i="10"/>
  <c r="X248" i="10"/>
  <c r="X160" i="10"/>
  <c r="X228" i="10"/>
  <c r="X149" i="10"/>
  <c r="X277" i="10"/>
  <c r="X247" i="10"/>
  <c r="X31" i="10"/>
  <c r="X36" i="10"/>
  <c r="X260" i="10"/>
  <c r="X299" i="10"/>
  <c r="X112" i="10"/>
  <c r="G327" i="9" l="1"/>
  <c r="O331" i="10"/>
  <c r="O332" i="10" s="1"/>
  <c r="X316" i="10"/>
  <c r="X50" i="10"/>
  <c r="X104" i="10"/>
  <c r="X141" i="10"/>
  <c r="X154" i="10"/>
  <c r="X210" i="10"/>
  <c r="X86" i="10"/>
  <c r="X63" i="10"/>
  <c r="X85" i="10"/>
  <c r="X97" i="10"/>
  <c r="X28" i="10"/>
  <c r="X264" i="10"/>
  <c r="X307" i="10"/>
  <c r="X297" i="10"/>
  <c r="X167" i="10"/>
  <c r="X265" i="10"/>
  <c r="X304" i="10"/>
  <c r="X105" i="10"/>
  <c r="X285" i="10"/>
  <c r="X284" i="10"/>
  <c r="X12" i="10"/>
  <c r="X309" i="10"/>
  <c r="X93" i="10"/>
  <c r="X60" i="10"/>
  <c r="X88" i="10"/>
  <c r="X174" i="10"/>
  <c r="X94" i="10"/>
  <c r="X80" i="10"/>
  <c r="X170" i="10"/>
  <c r="X67" i="10"/>
  <c r="X115" i="10"/>
  <c r="X229" i="10"/>
  <c r="X117" i="10"/>
  <c r="X95" i="10"/>
  <c r="X19" i="10"/>
  <c r="X38" i="10"/>
  <c r="X184" i="10"/>
  <c r="X102" i="10"/>
  <c r="X166" i="10"/>
  <c r="X235" i="10"/>
  <c r="X96" i="10"/>
  <c r="X83" i="10"/>
  <c r="X280" i="10"/>
  <c r="X263" i="10"/>
  <c r="X310" i="10"/>
  <c r="X127" i="10"/>
  <c r="X302" i="10"/>
  <c r="X195" i="10"/>
  <c r="X240" i="10"/>
  <c r="X211" i="10"/>
  <c r="X294" i="10"/>
  <c r="X108" i="10"/>
  <c r="X201" i="10"/>
  <c r="X191" i="10"/>
  <c r="X225" i="10"/>
  <c r="X14" i="10"/>
  <c r="X24" i="10"/>
  <c r="X39" i="10"/>
  <c r="X76" i="10"/>
  <c r="X172" i="10"/>
  <c r="X123" i="10"/>
  <c r="X246" i="10"/>
  <c r="X34" i="10"/>
  <c r="X202" i="10"/>
  <c r="X314" i="10"/>
  <c r="X41" i="10"/>
  <c r="X196" i="10"/>
  <c r="C56" i="10"/>
  <c r="C21" i="10"/>
  <c r="C286" i="10"/>
  <c r="C256" i="10"/>
  <c r="C20" i="10"/>
  <c r="C51" i="10"/>
  <c r="C247" i="10"/>
  <c r="C243" i="10"/>
  <c r="C13" i="10"/>
  <c r="C260" i="10"/>
  <c r="C226" i="10"/>
  <c r="C168" i="10"/>
  <c r="C66" i="10"/>
  <c r="C188" i="10"/>
  <c r="C206" i="10"/>
  <c r="C17" i="10"/>
  <c r="C193" i="10"/>
  <c r="C10" i="10"/>
  <c r="C274" i="10"/>
  <c r="C37" i="10"/>
  <c r="C15" i="10"/>
  <c r="C124" i="10"/>
  <c r="C84" i="10"/>
  <c r="C262" i="10"/>
  <c r="C74" i="10"/>
  <c r="C112" i="10"/>
  <c r="C36" i="10"/>
  <c r="C171" i="10"/>
  <c r="C233" i="10"/>
  <c r="C248" i="10"/>
  <c r="C213" i="10"/>
  <c r="C277" i="10"/>
  <c r="C275" i="10"/>
  <c r="C289" i="10"/>
  <c r="C165" i="10"/>
  <c r="C228" i="10"/>
  <c r="C208" i="10"/>
  <c r="C295" i="10"/>
  <c r="C48" i="10"/>
  <c r="C62" i="10"/>
  <c r="C299" i="10"/>
  <c r="C31" i="10"/>
  <c r="C160" i="10"/>
  <c r="C44" i="10"/>
  <c r="C312" i="10"/>
  <c r="C149" i="10"/>
  <c r="C258" i="10"/>
  <c r="C283" i="10"/>
  <c r="C182" i="10"/>
  <c r="C251" i="10"/>
  <c r="C25" i="10"/>
  <c r="C101" i="10"/>
  <c r="C35" i="10"/>
  <c r="C142" i="10"/>
  <c r="C73" i="10"/>
  <c r="C53" i="10"/>
  <c r="C223" i="10"/>
  <c r="C146" i="10"/>
  <c r="C151" i="10"/>
  <c r="C136" i="10"/>
  <c r="C268" i="10"/>
  <c r="C222" i="10"/>
  <c r="C143" i="10"/>
  <c r="C138" i="10"/>
  <c r="C109" i="10"/>
  <c r="C72" i="10"/>
  <c r="C194" i="10"/>
  <c r="C315" i="10"/>
  <c r="C176" i="10"/>
  <c r="C241" i="10"/>
  <c r="C147" i="10"/>
  <c r="C125" i="10"/>
  <c r="C183" i="10"/>
  <c r="C236" i="10"/>
  <c r="C155" i="10"/>
  <c r="C282" i="10"/>
  <c r="C18" i="10"/>
  <c r="C42" i="10"/>
  <c r="C78" i="10"/>
  <c r="C89" i="10"/>
  <c r="C254" i="10"/>
  <c r="C186" i="10"/>
  <c r="C303" i="10"/>
  <c r="C69" i="10"/>
  <c r="C47" i="10"/>
  <c r="C281" i="10"/>
  <c r="C65" i="10"/>
  <c r="C219" i="10"/>
  <c r="C178" i="10"/>
  <c r="C77" i="10"/>
  <c r="C90" i="10"/>
  <c r="C293" i="10"/>
  <c r="C305" i="10"/>
  <c r="C192" i="10"/>
  <c r="C116" i="10"/>
  <c r="C114" i="10"/>
  <c r="C217" i="10"/>
  <c r="C79" i="10"/>
  <c r="C11" i="10"/>
  <c r="C231" i="10"/>
  <c r="C242" i="10"/>
  <c r="C216" i="10"/>
  <c r="C306" i="10"/>
  <c r="C120" i="10"/>
  <c r="C135" i="10"/>
  <c r="C130" i="10"/>
  <c r="C230" i="10"/>
  <c r="C207" i="10"/>
  <c r="C99" i="10"/>
  <c r="C203" i="10"/>
  <c r="C58" i="10"/>
  <c r="C54" i="10"/>
  <c r="C119" i="10"/>
  <c r="C98" i="10"/>
  <c r="C169" i="10"/>
  <c r="C224" i="10"/>
  <c r="C266" i="10"/>
  <c r="C52" i="10"/>
  <c r="C81" i="10"/>
  <c r="C317" i="10"/>
  <c r="C311" i="10"/>
  <c r="C212" i="10"/>
  <c r="C156" i="10"/>
  <c r="C122" i="10"/>
  <c r="C46" i="10"/>
  <c r="C288" i="10"/>
  <c r="C316" i="10"/>
  <c r="C30" i="10"/>
  <c r="C118" i="10"/>
  <c r="C153" i="10"/>
  <c r="C50" i="10" l="1"/>
  <c r="C86" i="10"/>
  <c r="Q321" i="10"/>
  <c r="C63" i="10"/>
  <c r="C265" i="10"/>
  <c r="C19" i="10"/>
  <c r="C85" i="10"/>
  <c r="C264" i="10"/>
  <c r="C12" i="10"/>
  <c r="C309" i="10"/>
  <c r="C97" i="10"/>
  <c r="C184" i="10"/>
  <c r="C60" i="10"/>
  <c r="C117" i="10"/>
  <c r="C88" i="10"/>
  <c r="C95" i="10"/>
  <c r="C115" i="10"/>
  <c r="C167" i="10"/>
  <c r="C28" i="10"/>
  <c r="C172" i="10"/>
  <c r="C94" i="10"/>
  <c r="C154" i="10"/>
  <c r="C170" i="10"/>
  <c r="C55" i="10"/>
  <c r="X55" i="10"/>
  <c r="C144" i="10"/>
  <c r="X144" i="10"/>
  <c r="C27" i="10"/>
  <c r="X27" i="10"/>
  <c r="C181" i="10"/>
  <c r="X181" i="10"/>
  <c r="C179" i="10"/>
  <c r="X179" i="10"/>
  <c r="C29" i="10"/>
  <c r="X29" i="10"/>
  <c r="C82" i="10"/>
  <c r="X82" i="10"/>
  <c r="C70" i="10"/>
  <c r="X70" i="10"/>
  <c r="C271" i="10"/>
  <c r="X271" i="10"/>
  <c r="C132" i="10"/>
  <c r="X132" i="10"/>
  <c r="C300" i="10"/>
  <c r="X300" i="10"/>
  <c r="C204" i="10"/>
  <c r="X204" i="10"/>
  <c r="C32" i="10"/>
  <c r="X32" i="10"/>
  <c r="C159" i="10"/>
  <c r="X159" i="10"/>
  <c r="C22" i="10"/>
  <c r="X22" i="10"/>
  <c r="C261" i="10"/>
  <c r="X261" i="10"/>
  <c r="C158" i="10"/>
  <c r="X158" i="10"/>
  <c r="C128" i="10"/>
  <c r="X128" i="10"/>
  <c r="C199" i="10"/>
  <c r="X199" i="10"/>
  <c r="C245" i="10"/>
  <c r="X245" i="10"/>
  <c r="C272" i="10"/>
  <c r="X272" i="10"/>
  <c r="C252" i="10"/>
  <c r="X252" i="10"/>
  <c r="C68" i="10"/>
  <c r="X68" i="10"/>
  <c r="C23" i="10"/>
  <c r="X23" i="10"/>
  <c r="C61" i="10"/>
  <c r="X61" i="10"/>
  <c r="C244" i="10"/>
  <c r="X244" i="10"/>
  <c r="C103" i="10"/>
  <c r="X103" i="10"/>
  <c r="C43" i="10"/>
  <c r="X43" i="10"/>
  <c r="C16" i="10"/>
  <c r="X16" i="10"/>
  <c r="C71" i="10"/>
  <c r="X71" i="10"/>
  <c r="C33" i="10"/>
  <c r="X33" i="10"/>
  <c r="C239" i="10"/>
  <c r="X239" i="10"/>
  <c r="C133" i="10"/>
  <c r="X133" i="10"/>
  <c r="C137" i="10"/>
  <c r="X137" i="10"/>
  <c r="C273" i="10"/>
  <c r="X273" i="10"/>
  <c r="C270" i="10"/>
  <c r="X270" i="10"/>
  <c r="C291" i="10"/>
  <c r="X291" i="10"/>
  <c r="C177" i="10"/>
  <c r="X177" i="10"/>
  <c r="C64" i="10"/>
  <c r="X64" i="10"/>
  <c r="C234" i="10"/>
  <c r="X234" i="10"/>
  <c r="C157" i="10"/>
  <c r="X157" i="10"/>
  <c r="C148" i="10"/>
  <c r="X148" i="10"/>
  <c r="C296" i="10"/>
  <c r="X296" i="10"/>
  <c r="C257" i="10"/>
  <c r="E98" i="31" s="1"/>
  <c r="E103" i="31" s="1"/>
  <c r="X257" i="10"/>
  <c r="C173" i="10"/>
  <c r="X173" i="10"/>
  <c r="C121" i="10"/>
  <c r="X121" i="10"/>
  <c r="C238" i="10"/>
  <c r="X238" i="10"/>
  <c r="C139" i="10"/>
  <c r="X139" i="10"/>
  <c r="C189" i="10"/>
  <c r="X189" i="10"/>
  <c r="C250" i="10"/>
  <c r="X250" i="10"/>
  <c r="C59" i="10"/>
  <c r="X59" i="10"/>
  <c r="C276" i="10"/>
  <c r="X276" i="10"/>
  <c r="C290" i="10"/>
  <c r="X290" i="10"/>
  <c r="C150" i="10"/>
  <c r="X150" i="10"/>
  <c r="C100" i="10"/>
  <c r="X100" i="10"/>
  <c r="C75" i="10"/>
  <c r="X75" i="10"/>
  <c r="C180" i="10"/>
  <c r="X180" i="10"/>
  <c r="C57" i="10"/>
  <c r="X57" i="10"/>
  <c r="C134" i="10"/>
  <c r="X134" i="10"/>
  <c r="C126" i="10"/>
  <c r="X126" i="10"/>
  <c r="C107" i="10"/>
  <c r="X107" i="10"/>
  <c r="C301" i="10"/>
  <c r="X301" i="10"/>
  <c r="C140" i="10"/>
  <c r="X140" i="10"/>
  <c r="C292" i="10"/>
  <c r="X292" i="10"/>
  <c r="C232" i="10"/>
  <c r="X232" i="10"/>
  <c r="C221" i="10"/>
  <c r="X221" i="10"/>
  <c r="C49" i="10"/>
  <c r="X49" i="10"/>
  <c r="C185" i="10"/>
  <c r="X185" i="10"/>
  <c r="C308" i="10"/>
  <c r="X308" i="10"/>
  <c r="C237" i="10"/>
  <c r="X237" i="10"/>
  <c r="C162" i="10"/>
  <c r="X162" i="10"/>
  <c r="C259" i="10"/>
  <c r="X259" i="10"/>
  <c r="C26" i="10"/>
  <c r="X26" i="10"/>
  <c r="C175" i="10"/>
  <c r="X175" i="10"/>
  <c r="C209" i="10"/>
  <c r="X209" i="10"/>
  <c r="C269" i="10"/>
  <c r="X269" i="10"/>
  <c r="C92" i="10"/>
  <c r="X92" i="10"/>
  <c r="C161" i="10"/>
  <c r="X161" i="10"/>
  <c r="C278" i="10"/>
  <c r="X278" i="10"/>
  <c r="C255" i="10"/>
  <c r="X255" i="10"/>
  <c r="C131" i="10"/>
  <c r="X131" i="10"/>
  <c r="C152" i="10"/>
  <c r="X152" i="10"/>
  <c r="C215" i="10"/>
  <c r="X215" i="10"/>
  <c r="C218" i="10"/>
  <c r="X218" i="10"/>
  <c r="C227" i="10"/>
  <c r="X227" i="10"/>
  <c r="C164" i="10"/>
  <c r="X164" i="10"/>
  <c r="C111" i="10"/>
  <c r="X111" i="10"/>
  <c r="C190" i="10"/>
  <c r="X190" i="10"/>
  <c r="C187" i="10"/>
  <c r="X187" i="10"/>
  <c r="C45" i="10"/>
  <c r="X45" i="10"/>
  <c r="C220" i="10"/>
  <c r="X220" i="10"/>
  <c r="C91" i="10"/>
  <c r="X91" i="10"/>
  <c r="C287" i="10"/>
  <c r="X287" i="10"/>
  <c r="C214" i="10"/>
  <c r="X214" i="10"/>
  <c r="C200" i="10"/>
  <c r="X200" i="10"/>
  <c r="C110" i="10"/>
  <c r="X110" i="10"/>
  <c r="C40" i="10"/>
  <c r="X40" i="10"/>
  <c r="C163" i="10"/>
  <c r="X163" i="10"/>
  <c r="C205" i="10"/>
  <c r="X205" i="10"/>
  <c r="C249" i="10"/>
  <c r="X249" i="10"/>
  <c r="C87" i="10"/>
  <c r="X87" i="10"/>
  <c r="C145" i="10"/>
  <c r="X145" i="10"/>
  <c r="C129" i="10"/>
  <c r="X129" i="10"/>
  <c r="C279" i="10"/>
  <c r="X279" i="10"/>
  <c r="C298" i="10"/>
  <c r="X298" i="10"/>
  <c r="C41" i="10"/>
  <c r="C210" i="10"/>
  <c r="C240" i="10"/>
  <c r="C235" i="10"/>
  <c r="C24" i="10"/>
  <c r="C39" i="10"/>
  <c r="C67" i="10"/>
  <c r="C123" i="10"/>
  <c r="C34" i="10"/>
  <c r="C211" i="10"/>
  <c r="C284" i="10"/>
  <c r="C202" i="10"/>
  <c r="C302" i="10"/>
  <c r="C263" i="10"/>
  <c r="C96" i="10"/>
  <c r="C229" i="10"/>
  <c r="C246" i="10"/>
  <c r="C76" i="10"/>
  <c r="C14" i="10"/>
  <c r="C191" i="10"/>
  <c r="C201" i="10"/>
  <c r="C294" i="10"/>
  <c r="C285" i="10"/>
  <c r="C297" i="10"/>
  <c r="C307" i="10"/>
  <c r="C141" i="10"/>
  <c r="C104" i="10"/>
  <c r="C127" i="10"/>
  <c r="C280" i="10"/>
  <c r="C80" i="10"/>
  <c r="C38" i="10"/>
  <c r="C304" i="10"/>
  <c r="C225" i="10"/>
  <c r="C108" i="10"/>
  <c r="C105" i="10"/>
  <c r="C195" i="10"/>
  <c r="C310" i="10"/>
  <c r="C83" i="10"/>
  <c r="C196" i="10"/>
  <c r="C102" i="10"/>
  <c r="C93" i="10"/>
  <c r="C314" i="10"/>
  <c r="C174" i="10"/>
  <c r="C166" i="10"/>
  <c r="X325" i="10" l="1"/>
  <c r="C321" i="10"/>
  <c r="Y49" i="13" s="1"/>
  <c r="Y50" i="13" s="1"/>
  <c r="Q327" i="10"/>
  <c r="Z41" i="13"/>
  <c r="Z50" i="13" s="1"/>
  <c r="AE35" i="13"/>
  <c r="P45" i="13" l="1"/>
  <c r="P51" i="13" s="1"/>
  <c r="P55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Vanessa Miranda</author>
  </authors>
  <commentList>
    <comment ref="L1" authorId="0" shapeId="0" xr:uid="{00263AA1-794B-489E-B70B-22007ACBF56F}">
      <text>
        <r>
          <rPr>
            <b/>
            <sz val="9"/>
            <color indexed="81"/>
            <rFont val="Tahoma"/>
            <family val="2"/>
          </rPr>
          <t>Vanessa Miranda:</t>
        </r>
        <r>
          <rPr>
            <sz val="9"/>
            <color indexed="81"/>
            <rFont val="Tahoma"/>
            <family val="2"/>
          </rPr>
          <t xml:space="preserve">
divide by OPEB Expense years minus 1</t>
        </r>
      </text>
    </comment>
    <comment ref="H2" authorId="0" shapeId="0" xr:uid="{45999F37-7F4D-47CA-8ADE-CCCDBE8945B1}">
      <text>
        <r>
          <rPr>
            <b/>
            <sz val="9"/>
            <color indexed="81"/>
            <rFont val="Tahoma"/>
            <family val="2"/>
          </rPr>
          <t>Vanessa Miranda:</t>
        </r>
        <r>
          <rPr>
            <sz val="9"/>
            <color indexed="81"/>
            <rFont val="Tahoma"/>
            <family val="2"/>
          </rPr>
          <t xml:space="preserve">
divided by years as listed at O-05.02,pdf pg 26 (Section 2: GASB 75 info)</t>
        </r>
      </text>
    </comment>
  </commentList>
</comments>
</file>

<file path=xl/sharedStrings.xml><?xml version="1.0" encoding="utf-8"?>
<sst xmlns="http://schemas.openxmlformats.org/spreadsheetml/2006/main" count="3846" uniqueCount="923">
  <si>
    <t>Employer Code</t>
  </si>
  <si>
    <t>Employer</t>
  </si>
  <si>
    <t>Employer Allocation Percentage</t>
  </si>
  <si>
    <t>(1)</t>
  </si>
  <si>
    <t>(2)</t>
  </si>
  <si>
    <t>STATE OF NEW MEXICO</t>
  </si>
  <si>
    <t>21ST CENTURY PUBLIC ACADEMY</t>
  </si>
  <si>
    <t>ABQ CHARTER ACADEMY</t>
  </si>
  <si>
    <t>ACADEMY FOR TECHNOLOGY &amp; THE CLASSICS</t>
  </si>
  <si>
    <t>ACE LEADERSHIP</t>
  </si>
  <si>
    <t>ALAMOGORDO PUBLIC SCHOOLS</t>
  </si>
  <si>
    <t>ALBUQUERQUE BERNALILLO COUNTY WATER UTILITY AUTHORITY</t>
  </si>
  <si>
    <t>ALBUQUERQUE HOUSING AUTHORITY</t>
  </si>
  <si>
    <t>ALBUQUERQUE PUBLIC SCHOOLS</t>
  </si>
  <si>
    <t>ALBUQUERQUE SCHOOL OF EXCELLENCE</t>
  </si>
  <si>
    <t>ALBUQUERQUE SIGN LANGUAGE ACADEMY</t>
  </si>
  <si>
    <t>ALBUQUERQUE TALENT DEVELOPMENT SECONDARY CHARTER SCHOOL</t>
  </si>
  <si>
    <t>ALDO LEOPOLD CHARTER SCHOOL</t>
  </si>
  <si>
    <t>ALICE KING COMMUNITY SCHOOL</t>
  </si>
  <si>
    <t>ALMA D' ARTE CHARTER HIGH</t>
  </si>
  <si>
    <t>AMY BIEHL CHARTER SCHOOL</t>
  </si>
  <si>
    <t>ANANSI CHARTER SCHOOL</t>
  </si>
  <si>
    <t>ANIMAS PUBLIC SCHOOLS</t>
  </si>
  <si>
    <t>ARTESIA PUBLIC SCHOOLS</t>
  </si>
  <si>
    <t>AZTEC MUNICIPAL SCHOOLS</t>
  </si>
  <si>
    <t>BELEN CONSOLIDATED SCHOOLS</t>
  </si>
  <si>
    <t>BERNALILLO COUNTY</t>
  </si>
  <si>
    <t>BERNALILLO PUBLIC SCHOOLS</t>
  </si>
  <si>
    <t>BLOOMFIELD MUNICIPAL SCHOOLS</t>
  </si>
  <si>
    <t>CAPITAN MUNICIPAL SCHOOLS</t>
  </si>
  <si>
    <t>CARLSBAD MUNICIPAL SCHOOLS</t>
  </si>
  <si>
    <t>CARRIZOZO MUNICIPAL SCHOOLS</t>
  </si>
  <si>
    <t>CENTRAL CONSOLIDATED SCHOOL DISTRICT #22</t>
  </si>
  <si>
    <t>CENTRAL NEW MEXICO COMMUNITY COLLEGE</t>
  </si>
  <si>
    <t>CENTRAL REGION EDUCATION COOPERATIVE</t>
  </si>
  <si>
    <t>CESAR CHAVEZ COMMUNITY CHARTER SCHOOL</t>
  </si>
  <si>
    <t>CHAMA VALLEY INDEPENDENT SCHOOLS</t>
  </si>
  <si>
    <t>CHAVES COUNTY</t>
  </si>
  <si>
    <t>CHRISTINE DUNCAN'S HERITAGE ACADEMY</t>
  </si>
  <si>
    <t>CIBOLA COUNTY</t>
  </si>
  <si>
    <t>CIEN AGUAS INTERNATIONAL CHARTER SCHOOL</t>
  </si>
  <si>
    <t>CIMARRON MUNICIPAL SCHOOLS</t>
  </si>
  <si>
    <t>CITY OF ALAMOGORDO</t>
  </si>
  <si>
    <t>CITY OF ALBUQUERQUE</t>
  </si>
  <si>
    <t>CITY OF AZTEC</t>
  </si>
  <si>
    <t>CITY OF BELEN</t>
  </si>
  <si>
    <t>CITY OF BLOOMFIELD</t>
  </si>
  <si>
    <t>CITY OF CARLSBAD</t>
  </si>
  <si>
    <t>CITY OF CLOVIS</t>
  </si>
  <si>
    <t>CITY OF DEMING</t>
  </si>
  <si>
    <t>CITY OF ESPANOLA</t>
  </si>
  <si>
    <t>CITY OF FARMINGTON</t>
  </si>
  <si>
    <t>CITY OF GALLUP</t>
  </si>
  <si>
    <t>CITY OF JAL</t>
  </si>
  <si>
    <t>CITY OF LAS CRUCES</t>
  </si>
  <si>
    <t>CITY OF LAS VEGAS</t>
  </si>
  <si>
    <t>CITY OF MORIARTY</t>
  </si>
  <si>
    <t>CITY OF PORTALES</t>
  </si>
  <si>
    <t>CITY OF RATON</t>
  </si>
  <si>
    <t>CITY OF RIO RANCHO</t>
  </si>
  <si>
    <t>CITY OF ROSWELL</t>
  </si>
  <si>
    <t>CITY OF SANTA FE</t>
  </si>
  <si>
    <t>CITY OF SANTA ROSA</t>
  </si>
  <si>
    <t>CITY OF SOCORRO</t>
  </si>
  <si>
    <t>CITY OF SUNLAND PARK</t>
  </si>
  <si>
    <t>CITY OF T OR C</t>
  </si>
  <si>
    <t>CITY OF TEXICO</t>
  </si>
  <si>
    <t>CITY OF TUCUMCARI</t>
  </si>
  <si>
    <t>CLAYTON MUNICIPAL SCHOOLS</t>
  </si>
  <si>
    <t>CLOUDCROFT MUNICIPAL  SCHOOL DISTRICT</t>
  </si>
  <si>
    <t>CLOVIS MUNICIPAL SCHOOLS</t>
  </si>
  <si>
    <t>COBRE CONSOLIDATED SCHOOLS</t>
  </si>
  <si>
    <t>COLFAX COUNTY</t>
  </si>
  <si>
    <t>CORAL COMMUNITY CHARTER SCHOOL</t>
  </si>
  <si>
    <t>CORONA PUBLIC SCHOOLS</t>
  </si>
  <si>
    <t>CORRALES INTERNATIONAL SCHOOL</t>
  </si>
  <si>
    <t xml:space="preserve">COTTONWOOD CLASSICAL PREPARATORY SCHOOL </t>
  </si>
  <si>
    <t>COTTONWOOD VALLEY CHARTER SCHOOL</t>
  </si>
  <si>
    <t>CUBA INDEPENDENT SCHOOLS</t>
  </si>
  <si>
    <t>CURRY COUNTY</t>
  </si>
  <si>
    <t>DEMING CESAR CHAVEZ CHARTER HIGH SCHOOL</t>
  </si>
  <si>
    <t>DEMING PUBLIC SCHOOLS</t>
  </si>
  <si>
    <t>DES MOINES MUNICIPAL SCHOOLS</t>
  </si>
  <si>
    <t>DEXTER CONSOLIDATED SCHOOLS</t>
  </si>
  <si>
    <t>DIGITAL ARTS &amp; TECHNOLOGY ACADEMY</t>
  </si>
  <si>
    <t>DORA CONSOLIDATED SCHOOLS</t>
  </si>
  <si>
    <t>DREAM DINE' CHARTER SCHOOL</t>
  </si>
  <si>
    <t>DULCE INDEPENDENT SCHOOLS</t>
  </si>
  <si>
    <t>DZIL DIT L'OOI SCHOOL OF EMPOWERMENT</t>
  </si>
  <si>
    <t>EAST MOUNTAIN HIGH SCHOOL</t>
  </si>
  <si>
    <t>EASTERN NEW MEXICO UNIVERSITY AT ROSWELL</t>
  </si>
  <si>
    <t>EASTERN NEW MEXICO UNIVERSITY AT PORTALES</t>
  </si>
  <si>
    <t>EDDY COUNTY</t>
  </si>
  <si>
    <t>EL CAMINO REAL ACADEMY</t>
  </si>
  <si>
    <t>ELIDA MUNICIPAL SCHOOLS</t>
  </si>
  <si>
    <t>ESPANOLA PUBLIC SCHOOLS</t>
  </si>
  <si>
    <t>ESTANCIA MUNICIPAL SCHOOLS</t>
  </si>
  <si>
    <t>ESTANCIA VALLEY CLASSICAL CHARTER SCHOOL</t>
  </si>
  <si>
    <t>EUNICE PUBLIC SCHOOLS</t>
  </si>
  <si>
    <t>EXPLORE ACADEMY</t>
  </si>
  <si>
    <t>FARMINGTON MUNICIPAL SCHOOLS</t>
  </si>
  <si>
    <t>FLOYD MUNICIPAL SCHOOLS</t>
  </si>
  <si>
    <t>FT SUMNER MUNICIPAL SCHOOLS</t>
  </si>
  <si>
    <t>GADSDEN INDEPENDENT SCHOOL DISTRICT</t>
  </si>
  <si>
    <t>GALLUP HOUSING AUTHORITY</t>
  </si>
  <si>
    <t>GALLUP-MCKINLEY COUNTY SCHOOLS</t>
  </si>
  <si>
    <t>GILBERT L. SENA CHARTER HIGH SCHOOL</t>
  </si>
  <si>
    <t>GORDON BERNELL CHARTER SCHOOL</t>
  </si>
  <si>
    <t>GRADY MUNICIPAL SCHOOLS</t>
  </si>
  <si>
    <t>GRANT COUNTY</t>
  </si>
  <si>
    <t>GRANTS-CIBOLA COUNTY SCHOOLS</t>
  </si>
  <si>
    <t>HAGERMAN MUNICIPAL SCHOOLS</t>
  </si>
  <si>
    <t>HATCH VALLEY MUNICIPAL SCHOOLS</t>
  </si>
  <si>
    <t>HEALTH LEADERSHIP HIGH SCHOOL</t>
  </si>
  <si>
    <t>HIGH PLAINS REGIONAL EDUCATION COOPERATIVE</t>
  </si>
  <si>
    <t>HOBBS MUNICIPAL SCHOOLS</t>
  </si>
  <si>
    <t>HONDO VALLEY PUBLIC SCHOOLS</t>
  </si>
  <si>
    <t>HORIZON ACADEMY WEST</t>
  </si>
  <si>
    <t>HOUSE MUNICIPAL SCHOOLS</t>
  </si>
  <si>
    <t>INTERNATIONAL SCHOOL AT MESA DEL SOL</t>
  </si>
  <si>
    <t>J. PAUL TAYLOR ACADEMY</t>
  </si>
  <si>
    <t>JAL PUBLIC SCHOOLS</t>
  </si>
  <si>
    <t>JEFFERSON MONTESSORI ACADEMY</t>
  </si>
  <si>
    <t>JEMEZ MOUNTAIN SCHOOL DISTRICT</t>
  </si>
  <si>
    <t>JEMEZ VALLEY PUBLIC SCHOOLS</t>
  </si>
  <si>
    <t>LA ACADEMIA DE DOLORES HUERTA</t>
  </si>
  <si>
    <t>LA ACADEMIA DE ESPERANZA CHARTER SCHOOL</t>
  </si>
  <si>
    <t>LA PROMESA EARLY LEARNING CENTER</t>
  </si>
  <si>
    <t>LA TIERRA MONTESSORI SCHOOL</t>
  </si>
  <si>
    <t>LAKE ARTHUR SCHOOLS</t>
  </si>
  <si>
    <t>LAS CRUCES SCHOOL DISTRICT #2</t>
  </si>
  <si>
    <t>LAS MONTANAS CHARTER HIGH SCHOOL</t>
  </si>
  <si>
    <t>LAS VEGAS CITY SCHOOLS</t>
  </si>
  <si>
    <t>LEA COUNTY</t>
  </si>
  <si>
    <t>LINCOLN COUNTY</t>
  </si>
  <si>
    <t>LOGAN MUNICIPAL SCHOOLS</t>
  </si>
  <si>
    <t>LORDSBURG MUNICIPAL SCHOOLS</t>
  </si>
  <si>
    <t>LOS ALAMOS COUNTY</t>
  </si>
  <si>
    <t>LOS ALAMOS PUBLIC SCHOOLS</t>
  </si>
  <si>
    <t>LOS LUNAS CONSOLIDATED SCHOOLS</t>
  </si>
  <si>
    <t>LOS PUENTES CHARTER SCHOOL</t>
  </si>
  <si>
    <t>LOVING MUNICIPAL SCHOOLS</t>
  </si>
  <si>
    <t>LOVINGTON MUNICIPAL SCHOOLS</t>
  </si>
  <si>
    <t>LUNA COMMUNITY COLLEGE</t>
  </si>
  <si>
    <t>LUNA COUNTY</t>
  </si>
  <si>
    <t>MAGDALENA MUNICIPAL SCHOOLS</t>
  </si>
  <si>
    <t>MAXWELL MUNICIPAL SCHOOLS</t>
  </si>
  <si>
    <t>MCCURDY CHARTER SCHOOL</t>
  </si>
  <si>
    <t>MCKINLEY COUNTY</t>
  </si>
  <si>
    <t>MEDIA ARTS COLLABORATIVE CHARTER SCHOOL</t>
  </si>
  <si>
    <t>MELROSE MUNICIPAL SCHOOLS</t>
  </si>
  <si>
    <t>MESA VISTA SCHOOLS</t>
  </si>
  <si>
    <t>MESALANDS COMMUNITY COLLEGE</t>
  </si>
  <si>
    <t>MIDDLE COLLEGE HIGH SCHOOL</t>
  </si>
  <si>
    <t>MISSION ACHIEVEMENT &amp; SUCCESS SCHOOL</t>
  </si>
  <si>
    <t>MONTE DEL SOL CHARTER SCHOOL</t>
  </si>
  <si>
    <t>MONTESSORI ELEMENTARY CHARTER SCHOOL</t>
  </si>
  <si>
    <t>MONTESSORI OF THE RIO GRANDE CHARTER SCHOOL</t>
  </si>
  <si>
    <t>MORA INDEPENDENT SCHOOLS</t>
  </si>
  <si>
    <t>MORENO VALLEY CHARTER HIGH SCHOOL</t>
  </si>
  <si>
    <t>MORIARTY-EDGEWOOD SCHOOL DISTRICT</t>
  </si>
  <si>
    <t>MOSAIC ACADEMY CHARTER SCHOOL</t>
  </si>
  <si>
    <t>MOSQUERO MUNICIPAL SCHOOLS</t>
  </si>
  <si>
    <t>MOUNTAIN MAHOGANY COMMUNITY SCHOOL</t>
  </si>
  <si>
    <t>MOUNTAINAIR PUBLIC SCHOOLS</t>
  </si>
  <si>
    <t xml:space="preserve">NATIONAL EDUCATION ASSOCIATION - NEW MEXICO </t>
  </si>
  <si>
    <t>NATIVE AMERICAN COMMUNITY ACADEMY</t>
  </si>
  <si>
    <t>NEW MEXICO ACTIVITIES ASSOCIATION</t>
  </si>
  <si>
    <t>NEW MEXICO CONNECTIONS ACADEMY</t>
  </si>
  <si>
    <t>NEW MEXICO HIGHLANDS UNIVERSITY</t>
  </si>
  <si>
    <t>NEW MEXICO INTERNATIONAL SCHOOL</t>
  </si>
  <si>
    <t>NEW MEXICO JUNIOR COLLEGE</t>
  </si>
  <si>
    <t>NEW MEXICO MILITARY INSTITUTE</t>
  </si>
  <si>
    <t>NEW MEXICO SCHOOL FOR THE ARTS</t>
  </si>
  <si>
    <t>NEW MEXICO SCHOOL FOR THE DEAF</t>
  </si>
  <si>
    <t>NM SCHOOL FOR THE BLIND &amp; VISUAL IMPAIRED</t>
  </si>
  <si>
    <t>NORTH CENTRAL NEW MEXICO ECONOMIC DEVELOPMENT DISTRICT</t>
  </si>
  <si>
    <t>NORTH CENTRAL REGIONAL TRANSIT DISTRICT</t>
  </si>
  <si>
    <t>NORTH CENTRAL SOLID WASTE AUTHORITY</t>
  </si>
  <si>
    <t>NORTH VALLEY ACADEMY</t>
  </si>
  <si>
    <t>NORTHEAST REGIONAL EDUCATION COOPERATIVE #4</t>
  </si>
  <si>
    <t>NORTHERN NEW MEXICO COLLEGE</t>
  </si>
  <si>
    <t>NORTHERN REGIONAL HOUSING AUTHORITY</t>
  </si>
  <si>
    <t>NORTHWEST NEW MEXICO REGIONAL SOLID WASTE AUTHORITY</t>
  </si>
  <si>
    <t>NORTHWEST REGIONAL EDUCATION COOPERATIVE #2</t>
  </si>
  <si>
    <t>NUESTROS VALORES CHARTER SCHOOL</t>
  </si>
  <si>
    <t>PECOS CONNECTIONS ACADEMY</t>
  </si>
  <si>
    <t>PECOS INDEPENDENT SCHOOLS</t>
  </si>
  <si>
    <t>PECOS VALLEY REGIONAL EDUCATION COOPERATIVE #8</t>
  </si>
  <si>
    <t>PENASCO INDEPENDENT SCHOOLS</t>
  </si>
  <si>
    <t>POJOAQUE VALLEY SCHOOLS</t>
  </si>
  <si>
    <t>PORTALES MUNICIPAL SCHOOLS</t>
  </si>
  <si>
    <t>PUBLIC ACADEMY FOR THE PERFORMING ARTS</t>
  </si>
  <si>
    <t xml:space="preserve">QUEMADO INDEPENDENT SCHOOL DISTRICT </t>
  </si>
  <si>
    <t>QUESTA INDEPENDENT SCHOOLS</t>
  </si>
  <si>
    <t>RATON HOUSING AUTHORITY</t>
  </si>
  <si>
    <t>RATON PUBLIC SCHOOLS</t>
  </si>
  <si>
    <t>RATON PUBLIC SERVICE</t>
  </si>
  <si>
    <t>RED RIVER VALLEY CHARTER SCHOOL</t>
  </si>
  <si>
    <t>REGION IX EDUCATION COOPERATIVE</t>
  </si>
  <si>
    <t>REGIONAL EDUCATION COOPERATIVE #6</t>
  </si>
  <si>
    <t>REGIONAL EDUCATION COOPERATIVE VII</t>
  </si>
  <si>
    <t>REGIONAL EMERGENCY DISPATCH AUTHORITY</t>
  </si>
  <si>
    <t>RESERVE SCHOOL DISTRICT</t>
  </si>
  <si>
    <t>RIO ARRIBA COUNTY</t>
  </si>
  <si>
    <t>RIO GALLINAS CHARTER SCHOOL</t>
  </si>
  <si>
    <t>RIO RANCHO PUBLIC SCHOOLS</t>
  </si>
  <si>
    <t>ROBERT F. KENNEDY CHARTER SCHOOL</t>
  </si>
  <si>
    <t>ROOSEVELT COUNTY</t>
  </si>
  <si>
    <t>ROOTS AND WINGS COMMUNITY SCHOOL</t>
  </si>
  <si>
    <t>ROSWELL INDEPENDENT SCHOOLS</t>
  </si>
  <si>
    <t>ROY SCHOOLS</t>
  </si>
  <si>
    <t>RUIDOSO MUNICIPAL SCHOOLS</t>
  </si>
  <si>
    <t>SAN DIEGO RIVERSIDE CHARTER SCHOOL</t>
  </si>
  <si>
    <t>SAN JON MUNICIPAL SCHOOLS</t>
  </si>
  <si>
    <t>SAN JUAN COMMUNICATIONS</t>
  </si>
  <si>
    <t>SAN JUAN COUNTY</t>
  </si>
  <si>
    <t>SAN JUAN WATER COMMISSION</t>
  </si>
  <si>
    <t>SAN MIGUEL COUNTY</t>
  </si>
  <si>
    <t>SANDOVAL ACADEMY OF BILINGUAL EDUCATION</t>
  </si>
  <si>
    <t xml:space="preserve">SANDOVAL COUNTY </t>
  </si>
  <si>
    <t>SANTA FE CIVIC HOUSING AUTHORITY</t>
  </si>
  <si>
    <t>SANTA FE COMMUNITY COLLEGE</t>
  </si>
  <si>
    <t>SANTA FE COUNTY</t>
  </si>
  <si>
    <t>SANTA FE PUBLIC SCHOOLS</t>
  </si>
  <si>
    <t>SANTA ROSA CONSOLIDATED SCHOOLS</t>
  </si>
  <si>
    <t>SCHOOL OF DREAMS ACADEMY</t>
  </si>
  <si>
    <t>SIDNEY GUTIERREZ MIDDLE SCHOOL</t>
  </si>
  <si>
    <t>SIEMBRA LEADERSHIP CHARTER SCHOOL</t>
  </si>
  <si>
    <t>SIERRA COUNTY</t>
  </si>
  <si>
    <t>SILVER CITY CONSOLIDATED SCHOOLS</t>
  </si>
  <si>
    <t>SIX DIRECTIONS INDIGENOUS SCHOOL</t>
  </si>
  <si>
    <t>SOCORRO CONSOLIDATED SCHOOLS</t>
  </si>
  <si>
    <t>SOUTH VALLEY ACADEMY</t>
  </si>
  <si>
    <t>SOUTH VALLEY PREPARATORY SCHOOL</t>
  </si>
  <si>
    <t xml:space="preserve">SOUTHERN SANDOVAL COUNTY ARROYO FLOOD CONTROL AUTHORITY </t>
  </si>
  <si>
    <t>SOUTHWEST AERONAUTICS MATH &amp; SCIENCE ACADEMY</t>
  </si>
  <si>
    <t>SOUTHWEST NEW MEXICO COUNCIL OF GOVERNMENTS</t>
  </si>
  <si>
    <t>SOUTHWEST PRIMARY LEARNING CENTER</t>
  </si>
  <si>
    <t>SOUTHWEST REGIONAL EDUCATION #10</t>
  </si>
  <si>
    <t>SOUTHWEST SECONDARY LEARNING CENTER</t>
  </si>
  <si>
    <t>SPRINGER HOUSING AUTHORITY</t>
  </si>
  <si>
    <t>SPRINGER MUNICIPAL SCHOOLS</t>
  </si>
  <si>
    <t>TAOS ACADEMY CHARTER SCHOOL</t>
  </si>
  <si>
    <t>TAOS CHARTER SCHOOL</t>
  </si>
  <si>
    <t>TAOS COUNTY</t>
  </si>
  <si>
    <t>TAOS INTEGRATED SCHOOL OF THE ARTS</t>
  </si>
  <si>
    <t>TAOS MUNICIPAL SCHOOLS</t>
  </si>
  <si>
    <t>TATUM MUNICIPAL SCHOOLS</t>
  </si>
  <si>
    <t>TECH LEADERSHIP HIGH SCHOOL</t>
  </si>
  <si>
    <t>TEXICO MUNICIPAL SCHOOLS</t>
  </si>
  <si>
    <t>THE ASK ACADEMY</t>
  </si>
  <si>
    <t>THE GREAT ACADEMY</t>
  </si>
  <si>
    <t>THE MASTERS PROGRAM</t>
  </si>
  <si>
    <t>THE NEW AMERICA SCHOOL</t>
  </si>
  <si>
    <t>THE NEW AMERICA SCHOOL - LAS CRUCES</t>
  </si>
  <si>
    <t>TIERRA ADENTRO OF NEW MEXICO</t>
  </si>
  <si>
    <t>TIERRA ENCANTADA CHARTER HIGH SCHOOL</t>
  </si>
  <si>
    <t>TIERRA Y MONTES SOIL AND WATER CONSERVATION DISTRICT</t>
  </si>
  <si>
    <t>TORRANCE COUNTY</t>
  </si>
  <si>
    <t>TOWN OF BERNALILLO</t>
  </si>
  <si>
    <t>TOWN OF EDGEWOOD</t>
  </si>
  <si>
    <t>TOWN OF ELIDA</t>
  </si>
  <si>
    <t>TOWN OF ESTANCIA</t>
  </si>
  <si>
    <t>TOWN OF SILVER CITY</t>
  </si>
  <si>
    <t>TOWN OF SPRINGER</t>
  </si>
  <si>
    <t>TOWN OF TAOS</t>
  </si>
  <si>
    <t>TOWN OF TATUM</t>
  </si>
  <si>
    <t>TRUTH OR CONSEQUENCES HOUSING AUTHORITY</t>
  </si>
  <si>
    <t>TRUTH OR CONSEQUENCES MUNICIPAL SCHOOLS</t>
  </si>
  <si>
    <t>TUCUMCARI PUBLIC SCHOOLS</t>
  </si>
  <si>
    <t>TULAROSA MUNICIPAL SCHOOLS</t>
  </si>
  <si>
    <t>TURQUOISE TRAIL CHARTER SCHOOL</t>
  </si>
  <si>
    <t>UNION COUNTY</t>
  </si>
  <si>
    <t>VALENCIA COUNTY</t>
  </si>
  <si>
    <t>VAUGHN MUNICIPAL SCHOOLS</t>
  </si>
  <si>
    <t>VILLAGE OF BOSQUE FARMS</t>
  </si>
  <si>
    <t>VILLAGE OF CHAMA</t>
  </si>
  <si>
    <t>VILLAGE OF FT SUMNER</t>
  </si>
  <si>
    <t>VILLAGE OF HATCH</t>
  </si>
  <si>
    <t xml:space="preserve">VILLAGE OF JEMEZ SPRINGS </t>
  </si>
  <si>
    <t>VILLAGE OF LOGAN</t>
  </si>
  <si>
    <t>VILLAGE OF MELROSE</t>
  </si>
  <si>
    <t>VILLAGE OF MILAN</t>
  </si>
  <si>
    <t>VILLAGE OF PECOS</t>
  </si>
  <si>
    <t>VILLAGE OF QUESTA</t>
  </si>
  <si>
    <t>VILLAGE OF RESERVE</t>
  </si>
  <si>
    <t>VILLAGE OF TIJERAS</t>
  </si>
  <si>
    <t>VISTA GRANDE CHARTER HIGH SCHOOL</t>
  </si>
  <si>
    <t>WAGON MOUND PUBLIC SCHOOLS</t>
  </si>
  <si>
    <t>WALATOWA CHARTER HIGH SCHOOL</t>
  </si>
  <si>
    <t>WEST LAS VEGAS PUBLIC SCHOOLS</t>
  </si>
  <si>
    <t>WESTERN NEW MEXICO UNIVERSITY</t>
  </si>
  <si>
    <t>WILLIAM W. &amp; JOSEPHINE DORN CHARTER SCHOOL</t>
  </si>
  <si>
    <t>ZUNI PUBLIC SCHOOLS</t>
  </si>
  <si>
    <t>Deferred Inflows of Resources</t>
  </si>
  <si>
    <t>Differences Between Expected and Actual Experience</t>
  </si>
  <si>
    <t>Net Difference Between Projected and Actual Investment Earnings on OPEB Plan Investments</t>
  </si>
  <si>
    <t>Changes of Assumptions</t>
  </si>
  <si>
    <t>Total Deferred Inflows of Resources</t>
  </si>
  <si>
    <t>Subsequent Recognition of Deferred Amounts</t>
  </si>
  <si>
    <t>(16)</t>
  </si>
  <si>
    <t>Expensed portion of current-period difference between</t>
  </si>
  <si>
    <t>Expensed portion of current-period differences</t>
  </si>
  <si>
    <t xml:space="preserve">Interest on the total OPEB liability </t>
  </si>
  <si>
    <t xml:space="preserve">Actual member contributions </t>
  </si>
  <si>
    <t xml:space="preserve">Projected earnings on plan investments </t>
  </si>
  <si>
    <t>expected and actual experience in the total OPEB liability</t>
  </si>
  <si>
    <t>Expensed portion of current-period changes of assumptions</t>
  </si>
  <si>
    <t xml:space="preserve">or other inputs </t>
  </si>
  <si>
    <t>between actual and projected earnings on plan investments</t>
  </si>
  <si>
    <t xml:space="preserve">Year of </t>
  </si>
  <si>
    <t>Deferral</t>
  </si>
  <si>
    <t>Amortization</t>
  </si>
  <si>
    <t>Period</t>
  </si>
  <si>
    <t>Beginning</t>
  </si>
  <si>
    <t>Balance</t>
  </si>
  <si>
    <t xml:space="preserve">Changes of assumptions or other inputs </t>
  </si>
  <si>
    <t xml:space="preserve">Difference between expected and actual </t>
  </si>
  <si>
    <t>experience in the total OPEB liability</t>
  </si>
  <si>
    <t>earnings on plan investments</t>
  </si>
  <si>
    <t>Total deferred inflows of resources</t>
  </si>
  <si>
    <t>Current Year</t>
  </si>
  <si>
    <t>Changes</t>
  </si>
  <si>
    <t>Ending</t>
  </si>
  <si>
    <t>1-Percent Decrease</t>
  </si>
  <si>
    <t>1-Percent Increase</t>
  </si>
  <si>
    <t>(17)</t>
  </si>
  <si>
    <t>(18)</t>
  </si>
  <si>
    <t>(19)</t>
  </si>
  <si>
    <t>(20)</t>
  </si>
  <si>
    <t xml:space="preserve"> </t>
  </si>
  <si>
    <t>Actuarial cost method</t>
  </si>
  <si>
    <t>Entry age normal, level percent of pay,</t>
  </si>
  <si>
    <t>calculated on individual employee basis</t>
  </si>
  <si>
    <t>Asset valuation method</t>
  </si>
  <si>
    <t>Market value of assets</t>
  </si>
  <si>
    <t>Inflation</t>
  </si>
  <si>
    <t>Investment rate of return</t>
  </si>
  <si>
    <t>and margin for adverse deviation including inflation</t>
  </si>
  <si>
    <t>Total OPEB liability</t>
  </si>
  <si>
    <t>Plan fiduciary net position</t>
  </si>
  <si>
    <t>Net OPEB liability</t>
  </si>
  <si>
    <t xml:space="preserve">Plan fiduciary net position as a percentage of </t>
  </si>
  <si>
    <t>Asset Class</t>
  </si>
  <si>
    <t>Rate of Return</t>
  </si>
  <si>
    <t xml:space="preserve">U.S. equity - large cap </t>
  </si>
  <si>
    <t>Private equity</t>
  </si>
  <si>
    <t>Real estate</t>
  </si>
  <si>
    <t>U.S. equity - small/mid cap</t>
  </si>
  <si>
    <t>Long-Term</t>
  </si>
  <si>
    <t>1% Decrease</t>
  </si>
  <si>
    <t>Current Discount</t>
  </si>
  <si>
    <t>1% Increase</t>
  </si>
  <si>
    <t>Current Trend</t>
  </si>
  <si>
    <t>Rates</t>
  </si>
  <si>
    <t>Projected payroll increases</t>
  </si>
  <si>
    <t>Health care cost trend rate</t>
  </si>
  <si>
    <t>Deferred Inflows</t>
  </si>
  <si>
    <t>Deferred Outflows</t>
  </si>
  <si>
    <t>Total</t>
  </si>
  <si>
    <t>Mortality</t>
  </si>
  <si>
    <t>Target</t>
  </si>
  <si>
    <t>Allocation</t>
  </si>
  <si>
    <t>Deferred Outflows of Resources</t>
  </si>
  <si>
    <t>Changes in Proportion</t>
  </si>
  <si>
    <t>Total Deferred Outflows of Resources</t>
  </si>
  <si>
    <t>NOL &amp; Deferred Amounts</t>
  </si>
  <si>
    <t>nol py</t>
  </si>
  <si>
    <t>def inflows py</t>
  </si>
  <si>
    <t xml:space="preserve">OPEB Expense </t>
  </si>
  <si>
    <t>Deferred Amounts</t>
  </si>
  <si>
    <t>Check</t>
  </si>
  <si>
    <t>Do not print</t>
  </si>
  <si>
    <t>O-05.02</t>
  </si>
  <si>
    <t>Non Employer Specific Amounts</t>
  </si>
  <si>
    <t>Recognition of beginning of year deferred inflows of resources</t>
  </si>
  <si>
    <t>Net Amortization of Deferred Amounts from Changes in Proportion</t>
  </si>
  <si>
    <t>New Mexico Retiree Health Care Authority</t>
  </si>
  <si>
    <t>Schedule of Employer Allocations</t>
  </si>
  <si>
    <t>Schedule of OPEB Amounts by Employer</t>
  </si>
  <si>
    <t>Schedule of Deferred OPEB Amortization by Employer</t>
  </si>
  <si>
    <t>OPEB Expense (Income)</t>
  </si>
  <si>
    <t>Total Employer OPEB Expense (Income)</t>
  </si>
  <si>
    <t>Proportionate Share of Plan OPEB Expense (Income)</t>
  </si>
  <si>
    <t>including inflation</t>
  </si>
  <si>
    <t>Remaining</t>
  </si>
  <si>
    <t>Net OPEB income</t>
  </si>
  <si>
    <t xml:space="preserve">Service cost </t>
  </si>
  <si>
    <t>as OPEB income</t>
  </si>
  <si>
    <t>Administrative expense and other changes in fiduciary net position</t>
  </si>
  <si>
    <t>ALBUQUERQUE COLLEGIATE</t>
  </si>
  <si>
    <t>ALBUQUERQUE METROPOLITAN ARROYO FLOOD CONTROL AUTHORITY</t>
  </si>
  <si>
    <t>ALTURA PREP</t>
  </si>
  <si>
    <t>HOZHO ACADEMY</t>
  </si>
  <si>
    <t>MID-REGION COUNCIL OF GOVERNMENTS</t>
  </si>
  <si>
    <t>SOLARE COLLEGIATE CHARTER</t>
  </si>
  <si>
    <t>(21)</t>
  </si>
  <si>
    <t>(22)</t>
  </si>
  <si>
    <t>(24)</t>
  </si>
  <si>
    <t>Valuation date</t>
  </si>
  <si>
    <t>RAICES DEL SABER XINACHTLI COMMUNITY SCHOOL</t>
  </si>
  <si>
    <t>Expensed</t>
  </si>
  <si>
    <t>Deferred in Current Year</t>
  </si>
  <si>
    <t>(25)</t>
  </si>
  <si>
    <t>Total deferred outflows of resources</t>
  </si>
  <si>
    <t xml:space="preserve">ALBUQUERQUE INSTITUTE FOR MATHEMATICS AND SCIENCE </t>
  </si>
  <si>
    <t>TAOS INTERNATIONAL SCHOOL</t>
  </si>
  <si>
    <t>ACES TECHNICAL CHARTER SCHOOL</t>
  </si>
  <si>
    <t>ALBUQUERQUE BILINGUAL ACADEMY</t>
  </si>
  <si>
    <t>LAS CRUCES PUBLIC SCHOOLS</t>
  </si>
  <si>
    <t>MARK ARMIJO ACADEMY</t>
  </si>
  <si>
    <t>SANDOVAL COUNTY</t>
  </si>
  <si>
    <t>SANTA FE SOLID WASTE MANAGEMENT AGENCY</t>
  </si>
  <si>
    <t xml:space="preserve">SIERRA COUNTY </t>
  </si>
  <si>
    <t>VOZ COLLEGIATE PREP</t>
  </si>
  <si>
    <t>LINDRITH AREA HERITAGE SCHOOL*</t>
  </si>
  <si>
    <t>Fiscal Year Ending 2026</t>
  </si>
  <si>
    <t>2.30% for ERB members; 2.50% for PERA members</t>
  </si>
  <si>
    <t>Recognition of beginning of year deferred outflows of resources</t>
  </si>
  <si>
    <t>Schedules</t>
  </si>
  <si>
    <t>(26)</t>
  </si>
  <si>
    <t xml:space="preserve">Difference between actual and projected </t>
  </si>
  <si>
    <t>Current Trend Rates</t>
  </si>
  <si>
    <t>(23)</t>
  </si>
  <si>
    <t>Employer Year 2023</t>
  </si>
  <si>
    <t xml:space="preserve">THRIVE COMMUNITY SCHOOL </t>
  </si>
  <si>
    <t>RIO GRANDE ACADEMY OF FINE ARTS</t>
  </si>
  <si>
    <t>EXPLORE LAS CRUCES</t>
  </si>
  <si>
    <t xml:space="preserve">ALBUQUERQUE INSTITUTE FOR MATHMATICS AND SCIENCE </t>
  </si>
  <si>
    <t>def outflows py</t>
  </si>
  <si>
    <t>THRIVE COMMUNITY SCHOOL</t>
  </si>
  <si>
    <t>Fiscal Year Ending 2027</t>
  </si>
  <si>
    <t>Plan membership</t>
  </si>
  <si>
    <t>Current retirees and surviving spouses</t>
  </si>
  <si>
    <t>Inactive and eligible for deferred benefit</t>
  </si>
  <si>
    <t>Current active members</t>
  </si>
  <si>
    <t>Active membership</t>
  </si>
  <si>
    <t>State general</t>
  </si>
  <si>
    <t>State police and corrections</t>
  </si>
  <si>
    <t>Municipal general</t>
  </si>
  <si>
    <t>Municipal police</t>
  </si>
  <si>
    <t>Municipal FTRE</t>
  </si>
  <si>
    <t>Educational Retirement Board</t>
  </si>
  <si>
    <t>Fiscal Year Ending 2028</t>
  </si>
  <si>
    <t>A-150, pg 15</t>
  </si>
  <si>
    <t xml:space="preserve">NORTHERN REGIONAL HOUSING AUTHORITY </t>
  </si>
  <si>
    <t>to 4.50% over 16 years for Medicare medical plan costs</t>
  </si>
  <si>
    <t>the total OPEB liability ("funded status")</t>
  </si>
  <si>
    <t>Employer Year 2024</t>
  </si>
  <si>
    <t>Code</t>
  </si>
  <si>
    <t>Employers</t>
  </si>
  <si>
    <t>Employer Contributions</t>
  </si>
  <si>
    <t>ALBUQUERQUE AVIATION ACADEMY</t>
  </si>
  <si>
    <t>EXPLORE ACADEMY RIO RANCHO</t>
  </si>
  <si>
    <t>SOUTHEAST NEW MEXICO COLLEGE SENMC</t>
  </si>
  <si>
    <t>TAOS SOIL AND WATER CONSERVATION DIST</t>
  </si>
  <si>
    <t>TAOS SOIL AND WATER CONVERVATION DISTRICT</t>
  </si>
  <si>
    <t>CHECK THIS OUT BEFORE PRINTING</t>
  </si>
  <si>
    <t>Fiscal Year Ending 2029</t>
  </si>
  <si>
    <t>Employer Allocation Percentage 2024</t>
  </si>
  <si>
    <t>Real return</t>
  </si>
  <si>
    <t>Current-period benefit changes</t>
  </si>
  <si>
    <t>2024 Employer Contributions</t>
  </si>
  <si>
    <t>3010E</t>
  </si>
  <si>
    <t>Actuarial assumptions</t>
  </si>
  <si>
    <t>non-Medicare medical plan costs and 8.50% graded down</t>
  </si>
  <si>
    <t>Net OPEB Liability Sensitivity by Employer – Discount Rate</t>
  </si>
  <si>
    <t>Net OPEB Liability Sensitivity by Employer – Trend Rate</t>
  </si>
  <si>
    <t>For the Year Ended June 30, 2025</t>
  </si>
  <si>
    <t>As of and for the Year Ended June 30, 2025</t>
  </si>
  <si>
    <t>June 30, 2025</t>
  </si>
  <si>
    <t>Net OPEB Liability
June 30, 2025</t>
  </si>
  <si>
    <t>STATE OF NEW MEXICO DEPARTMENT OF FINANCE AND ADMINISTRATION</t>
  </si>
  <si>
    <t>ALTURA PREPARATORY SCHOOL</t>
  </si>
  <si>
    <t>EQUIP ACADEMY OF NEW MEXICO</t>
  </si>
  <si>
    <t>NORTHERN NEW MEXICO COMMUNITY COLLEGE</t>
  </si>
  <si>
    <t>PECOS CYBER ACADEMY</t>
  </si>
  <si>
    <t>01341</t>
  </si>
  <si>
    <t>02308</t>
  </si>
  <si>
    <t>02340</t>
  </si>
  <si>
    <t>02341</t>
  </si>
  <si>
    <t>02361</t>
  </si>
  <si>
    <t>01301</t>
  </si>
  <si>
    <t>02390</t>
  </si>
  <si>
    <t>2441</t>
  </si>
  <si>
    <t>15046</t>
  </si>
  <si>
    <t>02420</t>
  </si>
  <si>
    <t>04380</t>
  </si>
  <si>
    <t>02343</t>
  </si>
  <si>
    <t>2435</t>
  </si>
  <si>
    <t>04560</t>
  </si>
  <si>
    <t>04580</t>
  </si>
  <si>
    <t>02003</t>
  </si>
  <si>
    <t>02412</t>
  </si>
  <si>
    <t>08347</t>
  </si>
  <si>
    <t>02356</t>
  </si>
  <si>
    <t>07335</t>
  </si>
  <si>
    <t>2434</t>
  </si>
  <si>
    <t>02303</t>
  </si>
  <si>
    <t>20316</t>
  </si>
  <si>
    <t>23121</t>
  </si>
  <si>
    <t>02322</t>
  </si>
  <si>
    <t>03004</t>
  </si>
  <si>
    <t>16050</t>
  </si>
  <si>
    <t>14043</t>
  </si>
  <si>
    <t>P3010</t>
  </si>
  <si>
    <t>29086</t>
  </si>
  <si>
    <t>16051</t>
  </si>
  <si>
    <t>26077</t>
  </si>
  <si>
    <t>03005</t>
  </si>
  <si>
    <t>26078</t>
  </si>
  <si>
    <t>16053</t>
  </si>
  <si>
    <t>02123</t>
  </si>
  <si>
    <t>02150</t>
  </si>
  <si>
    <t>02336</t>
  </si>
  <si>
    <t>17126</t>
  </si>
  <si>
    <t>03030</t>
  </si>
  <si>
    <t>02353</t>
  </si>
  <si>
    <t>03040</t>
  </si>
  <si>
    <t>02367</t>
  </si>
  <si>
    <t>09027</t>
  </si>
  <si>
    <t>02010</t>
  </si>
  <si>
    <t>02020</t>
  </si>
  <si>
    <t>02040</t>
  </si>
  <si>
    <t>02060</t>
  </si>
  <si>
    <t>02090</t>
  </si>
  <si>
    <t>02110</t>
  </si>
  <si>
    <t>02180</t>
  </si>
  <si>
    <t>02210</t>
  </si>
  <si>
    <t>02290</t>
  </si>
  <si>
    <t>02310</t>
  </si>
  <si>
    <t>02330</t>
  </si>
  <si>
    <t>02380</t>
  </si>
  <si>
    <t>02400</t>
  </si>
  <si>
    <t>02410</t>
  </si>
  <si>
    <t>02500</t>
  </si>
  <si>
    <t>02550</t>
  </si>
  <si>
    <t>02570</t>
  </si>
  <si>
    <t>02620</t>
  </si>
  <si>
    <t>02630</t>
  </si>
  <si>
    <t>02690</t>
  </si>
  <si>
    <t>02710</t>
  </si>
  <si>
    <t>02730</t>
  </si>
  <si>
    <t>02950</t>
  </si>
  <si>
    <t>02760</t>
  </si>
  <si>
    <t>02780</t>
  </si>
  <si>
    <t>02810</t>
  </si>
  <si>
    <t>18056</t>
  </si>
  <si>
    <t>15047</t>
  </si>
  <si>
    <t>05012</t>
  </si>
  <si>
    <t>08024</t>
  </si>
  <si>
    <t>03050</t>
  </si>
  <si>
    <t>02421</t>
  </si>
  <si>
    <t>26079</t>
  </si>
  <si>
    <t>02363</t>
  </si>
  <si>
    <t>02364</t>
  </si>
  <si>
    <t>25319</t>
  </si>
  <si>
    <t>29087</t>
  </si>
  <si>
    <t>03060</t>
  </si>
  <si>
    <t>19301</t>
  </si>
  <si>
    <t>19059</t>
  </si>
  <si>
    <t>18057</t>
  </si>
  <si>
    <t>04008</t>
  </si>
  <si>
    <t>02350</t>
  </si>
  <si>
    <t>11117</t>
  </si>
  <si>
    <t>16359</t>
  </si>
  <si>
    <t>17115</t>
  </si>
  <si>
    <t>13437</t>
  </si>
  <si>
    <t>02304</t>
  </si>
  <si>
    <t>11101</t>
  </si>
  <si>
    <t>11102</t>
  </si>
  <si>
    <t>03100</t>
  </si>
  <si>
    <t>02323</t>
  </si>
  <si>
    <t>11034</t>
  </si>
  <si>
    <t>588001</t>
  </si>
  <si>
    <t>17054</t>
  </si>
  <si>
    <t>22065</t>
  </si>
  <si>
    <t>22201</t>
  </si>
  <si>
    <t>06016</t>
  </si>
  <si>
    <t>07440</t>
  </si>
  <si>
    <t>02432</t>
  </si>
  <si>
    <t>29125</t>
  </si>
  <si>
    <t>16052</t>
  </si>
  <si>
    <t>11118</t>
  </si>
  <si>
    <t>27083</t>
  </si>
  <si>
    <t>07021</t>
  </si>
  <si>
    <t>04140</t>
  </si>
  <si>
    <t>13041</t>
  </si>
  <si>
    <t>02339</t>
  </si>
  <si>
    <t>02362</t>
  </si>
  <si>
    <t>05013</t>
  </si>
  <si>
    <t>03110</t>
  </si>
  <si>
    <t>14044</t>
  </si>
  <si>
    <t>04009</t>
  </si>
  <si>
    <t>07022</t>
  </si>
  <si>
    <t>02430</t>
  </si>
  <si>
    <t>09150</t>
  </si>
  <si>
    <t>06017</t>
  </si>
  <si>
    <t>26080</t>
  </si>
  <si>
    <t>02327</t>
  </si>
  <si>
    <t>10119</t>
  </si>
  <si>
    <t>13436</t>
  </si>
  <si>
    <t>07420</t>
  </si>
  <si>
    <t>06018</t>
  </si>
  <si>
    <t>03321</t>
  </si>
  <si>
    <t>29122</t>
  </si>
  <si>
    <t>29088</t>
  </si>
  <si>
    <t>02329</t>
  </si>
  <si>
    <t>07337</t>
  </si>
  <si>
    <t>04010</t>
  </si>
  <si>
    <t>07023</t>
  </si>
  <si>
    <t>12037</t>
  </si>
  <si>
    <t>03150</t>
  </si>
  <si>
    <t>03160</t>
  </si>
  <si>
    <t>10120</t>
  </si>
  <si>
    <t>23070</t>
  </si>
  <si>
    <t>03170</t>
  </si>
  <si>
    <t>32093</t>
  </si>
  <si>
    <t>14045</t>
  </si>
  <si>
    <t>03006</t>
  </si>
  <si>
    <t>06019</t>
  </si>
  <si>
    <t>12128</t>
  </si>
  <si>
    <t>03180</t>
  </si>
  <si>
    <t>25075</t>
  </si>
  <si>
    <t>02311</t>
  </si>
  <si>
    <t>09028</t>
  </si>
  <si>
    <t>17424</t>
  </si>
  <si>
    <t>03200</t>
  </si>
  <si>
    <t>02365</t>
  </si>
  <si>
    <t>05014</t>
  </si>
  <si>
    <t>17127</t>
  </si>
  <si>
    <t>10141</t>
  </si>
  <si>
    <t>13369</t>
  </si>
  <si>
    <t>04570</t>
  </si>
  <si>
    <t>02425</t>
  </si>
  <si>
    <t>01306</t>
  </si>
  <si>
    <t>02351</t>
  </si>
  <si>
    <t>02334</t>
  </si>
  <si>
    <t>30089</t>
  </si>
  <si>
    <t>09324</t>
  </si>
  <si>
    <t>22066</t>
  </si>
  <si>
    <t>16356</t>
  </si>
  <si>
    <t>31091</t>
  </si>
  <si>
    <t>02342</t>
  </si>
  <si>
    <t>22067</t>
  </si>
  <si>
    <t>25616</t>
  </si>
  <si>
    <t>02354</t>
  </si>
  <si>
    <t>07421</t>
  </si>
  <si>
    <t>02148</t>
  </si>
  <si>
    <t>01418</t>
  </si>
  <si>
    <t>12102</t>
  </si>
  <si>
    <t>06124</t>
  </si>
  <si>
    <t>04097</t>
  </si>
  <si>
    <t>01416</t>
  </si>
  <si>
    <t>15104</t>
  </si>
  <si>
    <t>01094</t>
  </si>
  <si>
    <t>02520</t>
  </si>
  <si>
    <t>03450</t>
  </si>
  <si>
    <t>04310</t>
  </si>
  <si>
    <t>02328</t>
  </si>
  <si>
    <t>12151</t>
  </si>
  <si>
    <t>17105</t>
  </si>
  <si>
    <t>04215</t>
  </si>
  <si>
    <t>2310</t>
  </si>
  <si>
    <t>02870</t>
  </si>
  <si>
    <t>29150</t>
  </si>
  <si>
    <t>03433</t>
  </si>
  <si>
    <t>12039</t>
  </si>
  <si>
    <t>12150</t>
  </si>
  <si>
    <t>20060</t>
  </si>
  <si>
    <t>01001</t>
  </si>
  <si>
    <t>11035</t>
  </si>
  <si>
    <t>02320</t>
  </si>
  <si>
    <t>28084</t>
  </si>
  <si>
    <t>20125</t>
  </si>
  <si>
    <t>7445</t>
  </si>
  <si>
    <t>09029</t>
  </si>
  <si>
    <t>02580</t>
  </si>
  <si>
    <t>20312</t>
  </si>
  <si>
    <t>05016</t>
  </si>
  <si>
    <t>06150</t>
  </si>
  <si>
    <t>26150</t>
  </si>
  <si>
    <t>04480</t>
  </si>
  <si>
    <t>02346</t>
  </si>
  <si>
    <t>28085</t>
  </si>
  <si>
    <t>03240</t>
  </si>
  <si>
    <t>12326</t>
  </si>
  <si>
    <t>2445</t>
  </si>
  <si>
    <t>29123</t>
  </si>
  <si>
    <t>02318</t>
  </si>
  <si>
    <t>03250</t>
  </si>
  <si>
    <t>02313</t>
  </si>
  <si>
    <t>04011</t>
  </si>
  <si>
    <t>31092</t>
  </si>
  <si>
    <t>26081</t>
  </si>
  <si>
    <t>29305</t>
  </si>
  <si>
    <t>10032</t>
  </si>
  <si>
    <t>32107</t>
  </si>
  <si>
    <t>03260</t>
  </si>
  <si>
    <t>04390</t>
  </si>
  <si>
    <t>03270</t>
  </si>
  <si>
    <t>29303</t>
  </si>
  <si>
    <t>03280</t>
  </si>
  <si>
    <t>04260</t>
  </si>
  <si>
    <t>01003</t>
  </si>
  <si>
    <t>03290</t>
  </si>
  <si>
    <t>01002</t>
  </si>
  <si>
    <t>4270</t>
  </si>
  <si>
    <t>24072</t>
  </si>
  <si>
    <t>14366</t>
  </si>
  <si>
    <t>07338</t>
  </si>
  <si>
    <t>04317</t>
  </si>
  <si>
    <t>02433</t>
  </si>
  <si>
    <t>03300</t>
  </si>
  <si>
    <t>08026</t>
  </si>
  <si>
    <t>13438</t>
  </si>
  <si>
    <t>25076</t>
  </si>
  <si>
    <t>02440</t>
  </si>
  <si>
    <t>02309</t>
  </si>
  <si>
    <t>02396</t>
  </si>
  <si>
    <t>E3010</t>
  </si>
  <si>
    <t>03380</t>
  </si>
  <si>
    <t>02740</t>
  </si>
  <si>
    <t>21150</t>
  </si>
  <si>
    <t>04520</t>
  </si>
  <si>
    <t>09030</t>
  </si>
  <si>
    <t>20265</t>
  </si>
  <si>
    <t>03320</t>
  </si>
  <si>
    <t>20415</t>
  </si>
  <si>
    <t>20435</t>
  </si>
  <si>
    <t>20307</t>
  </si>
  <si>
    <t>20062</t>
  </si>
  <si>
    <t>03410</t>
  </si>
  <si>
    <t>06020</t>
  </si>
  <si>
    <t>02394</t>
  </si>
  <si>
    <t>05015</t>
  </si>
  <si>
    <t>02402</t>
  </si>
  <si>
    <t>29408</t>
  </si>
  <si>
    <t>02413</t>
  </si>
  <si>
    <t>02368</t>
  </si>
  <si>
    <t>01398</t>
  </si>
  <si>
    <t>02366</t>
  </si>
  <si>
    <t>02414</t>
  </si>
  <si>
    <t>01425</t>
  </si>
  <si>
    <t>02370</t>
  </si>
  <si>
    <t>1343</t>
  </si>
  <si>
    <t>02790</t>
  </si>
  <si>
    <t>03330</t>
  </si>
  <si>
    <t>02080</t>
  </si>
  <si>
    <t>04290</t>
  </si>
  <si>
    <t>02270</t>
  </si>
  <si>
    <t>02300</t>
  </si>
  <si>
    <t>02720</t>
  </si>
  <si>
    <t>02750</t>
  </si>
  <si>
    <t>02770</t>
  </si>
  <si>
    <t>32106</t>
  </si>
  <si>
    <t>04180</t>
  </si>
  <si>
    <t>21063</t>
  </si>
  <si>
    <t>10033</t>
  </si>
  <si>
    <t>15049</t>
  </si>
  <si>
    <t>01315</t>
  </si>
  <si>
    <t>03340</t>
  </si>
  <si>
    <t>03350</t>
  </si>
  <si>
    <t>24073</t>
  </si>
  <si>
    <t>02100</t>
  </si>
  <si>
    <t>02130</t>
  </si>
  <si>
    <t>32099</t>
  </si>
  <si>
    <t>32100</t>
  </si>
  <si>
    <t>32101</t>
  </si>
  <si>
    <t>32102</t>
  </si>
  <si>
    <t>02880</t>
  </si>
  <si>
    <t>02490</t>
  </si>
  <si>
    <t>02530</t>
  </si>
  <si>
    <t>02560</t>
  </si>
  <si>
    <t>02610</t>
  </si>
  <si>
    <t>02800</t>
  </si>
  <si>
    <t>20317</t>
  </si>
  <si>
    <t>02442</t>
  </si>
  <si>
    <t>30090</t>
  </si>
  <si>
    <t>29330</t>
  </si>
  <si>
    <t>12038</t>
  </si>
  <si>
    <t>08099</t>
  </si>
  <si>
    <t>13142</t>
  </si>
  <si>
    <t>NORTHPOINT CHARTER SCHOOL (FORMERLY SOUTHWEST SECONDARY LEARNING CENTER)</t>
  </si>
  <si>
    <t>E2310</t>
  </si>
  <si>
    <t>Employer Allocation Percentage 2025</t>
  </si>
  <si>
    <t>opeb</t>
  </si>
  <si>
    <t>CHANGE IN PRO</t>
  </si>
  <si>
    <t>Expense in 2026</t>
  </si>
  <si>
    <t>Deferred Amounts - 2026</t>
  </si>
  <si>
    <t>For the Year Ended June 30, 2024</t>
  </si>
  <si>
    <t>**** Zero Share in 2021</t>
  </si>
  <si>
    <t>*** Zero Share in 2022</t>
  </si>
  <si>
    <t>** Zero Share in 2024</t>
  </si>
  <si>
    <t>*  Zero Share in 2025</t>
  </si>
  <si>
    <t>WILLIAM W. &amp; JOSEPHINE DORN CHARTER SCHOOL*</t>
  </si>
  <si>
    <t>LA TIERRA MONTESSORI SCHOOL**</t>
  </si>
  <si>
    <t>RATON HOUSING AUTHORITY ***</t>
  </si>
  <si>
    <t>LINDRITH AREA HERITAGE SCHOOL****</t>
  </si>
  <si>
    <t>* Zero Share in 2025</t>
  </si>
  <si>
    <t>LA TIERRA MONTESSORI SCHOOL **</t>
  </si>
  <si>
    <t>Fiscal Year Ending 2030</t>
  </si>
  <si>
    <t>WILLIAM W. &amp; JOSEPHINE DORN CHARTER SCHOOL *</t>
  </si>
  <si>
    <t xml:space="preserve">3.25% to 11.50%, based on years of service, </t>
  </si>
  <si>
    <t xml:space="preserve">7.25%, net of OPEB plan investment expense </t>
  </si>
  <si>
    <t xml:space="preserve">8.25% graded down to 4.50% over 15 years for </t>
  </si>
  <si>
    <t xml:space="preserve">ERB members: Pub-2010 Teachers Active Employee
</t>
  </si>
  <si>
    <t>Mortality Table. Generational mortality improvements</t>
  </si>
  <si>
    <t>in accordance with the Ultimate MP scales are projected from</t>
  </si>
  <si>
    <t>the year 2010.</t>
  </si>
  <si>
    <t>PERA members: PUB-2010 General Employees Mortality</t>
  </si>
  <si>
    <t>mortality improvement scale using a base year of 2010.</t>
  </si>
  <si>
    <t xml:space="preserve">assumed to be duty related and 35% are assumed to be </t>
  </si>
  <si>
    <t>duty-related for public safety groups.</t>
  </si>
  <si>
    <t xml:space="preserve">table, projected with the ultimate rates from the MP-2020 </t>
  </si>
  <si>
    <t xml:space="preserve">For nonpublic safety group, 25% of in-service deaths are </t>
  </si>
  <si>
    <t>Private credit</t>
  </si>
  <si>
    <t>Public credit</t>
  </si>
  <si>
    <t>(6.25%)</t>
  </si>
  <si>
    <t>(7.25%)</t>
  </si>
  <si>
    <t>(8.25%)</t>
  </si>
  <si>
    <t>2025 Employer Contributions</t>
  </si>
  <si>
    <t>Current Discount Rate (7.25%)</t>
  </si>
  <si>
    <t>1-Percent Decrease (6.25%)</t>
  </si>
  <si>
    <t>1-Percent Increase 
(8.25%)</t>
  </si>
  <si>
    <t>Please enter information in the blue boxes below.</t>
  </si>
  <si>
    <t>Employer Number</t>
  </si>
  <si>
    <t>Employer Name</t>
  </si>
  <si>
    <t>1. Please input the employer number</t>
  </si>
  <si>
    <t>Contributions</t>
  </si>
  <si>
    <t>Employer's General Ledger</t>
  </si>
  <si>
    <t>Covered payroll</t>
  </si>
  <si>
    <t>Employer's General Ledger for payroll of the employees</t>
  </si>
  <si>
    <t xml:space="preserve">   that are provided with OPEB through NMRHCA</t>
  </si>
  <si>
    <t>Employer's Prior Year Financial Statements</t>
  </si>
  <si>
    <t>Employer Amounts</t>
  </si>
  <si>
    <t>Amount</t>
  </si>
  <si>
    <t>Reference</t>
  </si>
  <si>
    <t>Schedule of Employer Allocation</t>
  </si>
  <si>
    <t>Total OPEB Expense (Income)</t>
  </si>
  <si>
    <t>Ending Net OPEB Liability</t>
  </si>
  <si>
    <t>4. Record the net change Net OPEB Liability (Debit = positive amounts):</t>
  </si>
  <si>
    <t>Net OPEB Liability</t>
  </si>
  <si>
    <t>Rounding Impact to OPEB Expense (Income)</t>
  </si>
  <si>
    <t xml:space="preserve">Note: this is the rounding impact and </t>
  </si>
  <si>
    <t xml:space="preserve">difference between NMRHCA contributions </t>
  </si>
  <si>
    <t>and Employer's contributions</t>
  </si>
  <si>
    <t>5. Record current year contributions to Deferred Outflows:</t>
  </si>
  <si>
    <t>RHCA Contributions Expense</t>
  </si>
  <si>
    <t>6. The information below might be useful for footnote disclosures.</t>
  </si>
  <si>
    <t>Discount Rate Sensitivity Analysis</t>
  </si>
  <si>
    <t>Net OPEB Liability Sensitivity by Employer - Discount Rate</t>
  </si>
  <si>
    <t>Trend Rate Sensitivity Analysis</t>
  </si>
  <si>
    <t>Net OPEB Liability Sensitivity by Employer - Trend Rate</t>
  </si>
  <si>
    <t>Current Discount Rate</t>
  </si>
  <si>
    <t>Balances of Deferred Amounts</t>
  </si>
  <si>
    <t xml:space="preserve">Differences Between Expected and </t>
  </si>
  <si>
    <t>Actual Experience</t>
  </si>
  <si>
    <t xml:space="preserve">Net Difference Between Projected and </t>
  </si>
  <si>
    <t>Actual Investment Earnings on OPEB</t>
  </si>
  <si>
    <t>Plan Investments</t>
  </si>
  <si>
    <t>Change in Proportion</t>
  </si>
  <si>
    <t>Contributions made after the</t>
  </si>
  <si>
    <t>measurement date</t>
  </si>
  <si>
    <t>Year</t>
  </si>
  <si>
    <t>Amortization of Deferred Amounts by Employer</t>
  </si>
  <si>
    <t>Required Supplementary Information</t>
  </si>
  <si>
    <t>SCHEDULE OF EMPLOYER'S PROPORTIONATE SHARE OF THE NET OPEB LIABILITY</t>
  </si>
  <si>
    <t>Employer's proportion of the net OPEB</t>
  </si>
  <si>
    <t>liability</t>
  </si>
  <si>
    <t>Employer's proportionate share of the</t>
  </si>
  <si>
    <t xml:space="preserve"> net OPEB liability</t>
  </si>
  <si>
    <t>Employer covered payroll</t>
  </si>
  <si>
    <t>multiplied by Employer's proportion</t>
  </si>
  <si>
    <t xml:space="preserve">Employer's proportionate share of the </t>
  </si>
  <si>
    <t>net OPEB liability as a percentage of</t>
  </si>
  <si>
    <t>its covered payroll</t>
  </si>
  <si>
    <t>Calculation</t>
  </si>
  <si>
    <t>Plan fiduciary net position as a</t>
  </si>
  <si>
    <t>percentage of the total OPEB</t>
  </si>
  <si>
    <t>SCHEDULE OF EMPLOYER'S CONTRIBUTIONS</t>
  </si>
  <si>
    <t>Contractually required contribution</t>
  </si>
  <si>
    <t>Contributions in relation to the</t>
  </si>
  <si>
    <t>contractually required contribution</t>
  </si>
  <si>
    <t>Contribution deficiency (excess)</t>
  </si>
  <si>
    <t>Employer's covered payroll</t>
  </si>
  <si>
    <t>of employees that are provided with OPEB through NMRHCA's OPEB plan.</t>
  </si>
  <si>
    <t>Contributions as a percentage of</t>
  </si>
  <si>
    <t>covered payroll</t>
  </si>
  <si>
    <t>As of and for the Year Ended June 30, 2024</t>
  </si>
  <si>
    <t>Net OPEB Liability
June 30, 2024</t>
  </si>
  <si>
    <t>LA TIERRA MONTESSORI SCHOOL*</t>
  </si>
  <si>
    <t>RATON HOUSING AUTHORITY **</t>
  </si>
  <si>
    <t>LINDRITH AREA HERITAGE SCHOOL***</t>
  </si>
  <si>
    <t>STUDENT ATHLETE HEADQUARTERS ACADEMY ****</t>
  </si>
  <si>
    <t>NEW MEXICO VIRTUAL ACADEMY ****</t>
  </si>
  <si>
    <t>LA RESOLANA LEADERSHIP ACADEMY ****</t>
  </si>
  <si>
    <t>CARINOS CHARTER SCHOOL ****</t>
  </si>
  <si>
    <t>ANTHONY CHARTER SCHOOL ****</t>
  </si>
  <si>
    <t>ACADEMY OF TRADES AND TECHNOLOGY ****</t>
  </si>
  <si>
    <t>*  Zero Share in 2024</t>
  </si>
  <si>
    <t>** Zero Share in 2022</t>
  </si>
  <si>
    <t>*** Zero Share in 2021</t>
  </si>
  <si>
    <t>**** Zero Share in 2019</t>
  </si>
  <si>
    <t>2. Please enter the contributions expensed from July 1, 2025 to June 30, 2026:</t>
  </si>
  <si>
    <t>3. Please enter the contributions deferred from July 1, 2024 to June 30, 2025 (Deferred Outflow):</t>
  </si>
  <si>
    <t>2025 Employer Allocation %</t>
  </si>
  <si>
    <t>1-Percent Increase (8.25%)</t>
  </si>
  <si>
    <t xml:space="preserve">Covered payroll for the fiscal year ended June 30, 2026 in other words the payroll </t>
  </si>
  <si>
    <t>Covered payroll disclosed in audited FS ($6,246,365,057 page 35 )</t>
  </si>
  <si>
    <t>NMRHCA Audited FS page 35</t>
  </si>
  <si>
    <t>U.S. core fixed income</t>
  </si>
  <si>
    <t>Non-U.S. equity - developed equities</t>
  </si>
  <si>
    <t>Non-U.S. equity - emerging equities</t>
  </si>
  <si>
    <t>RENAISSANCE ACADEMY CHARTER SCHOOL (FORMERLY KNOWN AS SOUTHWEST PRIMARY LEARNING CENTER)</t>
  </si>
  <si>
    <t>ALBUQUERQUE AVIATION ACADEMY (FORMERLY SOUTHWEST AERONAUTICS MATH &amp; SCIENCE ACADEMY)</t>
  </si>
  <si>
    <t>ARCHER ACADEMY OF ACCELERATED LEARNING (FORMERLY LOS PUENTES CHARTER SCHOOL)</t>
  </si>
  <si>
    <t>MONTESSORI ACADEMY (FORMERLY MONTESSORI ELEMENTARY CHARTER SCHOOL)</t>
  </si>
  <si>
    <t>MORENO VALLEY PREPARATORY (FORMERLY MORENO VALLEY CHARTER HIGH SCHOOL)</t>
  </si>
  <si>
    <t>NEW MEXICO ACADEMY OF MEDIA ARTS (FORMERLY MEDIA ARTS COLLABORATIVE CHARTER SCHOOL)</t>
  </si>
  <si>
    <t>RENAISSANCE ACADEMY CHARTER SCHOOL (FORMERLY SOUTHWEST PRIMARY LEARNING CENTER)</t>
  </si>
  <si>
    <t>SENDERO SCHOOL OF ACADEMICS AND CAREER PREPARATION (FORMERLY LAS MONTANAS CHARTER HIGH SCHOOL)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</si>
</sst>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"/>
    <numFmt numFmtId="165" formatCode="&quot;$&quot;#,##0"/>
    <numFmt numFmtId="166" formatCode="0.00000%"/>
    <numFmt numFmtId="167" formatCode="_(* #,##0_);_(* \(#,##0\);_(* &quot;-&quot;??_);_(@_)"/>
    <numFmt numFmtId="168" formatCode="\(#\);\(#\);;"/>
    <numFmt numFmtId="169" formatCode="0_);\(0\)"/>
    <numFmt numFmtId="170" formatCode="0.000000%"/>
    <numFmt numFmtId="171" formatCode="0.0000000%"/>
    <numFmt numFmtId="172" formatCode="0.00000000%"/>
    <numFmt numFmtId="173" formatCode="0.000000000%"/>
    <numFmt numFmtId="174" formatCode="0.0%"/>
    <numFmt numFmtId="175" formatCode="0.0000%"/>
    <numFmt numFmtId="176" formatCode="_(&quot;$&quot;* #,##0_);_(&quot;$&quot;* \(#,##0\);_(&quot;$&quot;* &quot;-&quot;??_);_(@_)"/>
    <numFmt numFmtId="177" formatCode="General_)"/>
    <numFmt numFmtId="178" formatCode="mmmm\ d\,\ yyyy"/>
    <numFmt numFmtId="179" formatCode="_(* #,##0.00&quot;%&quot;;_(* \(#,##0.00&quot;%&quot;\);_(* &quot;--%&quot;_);_(@_)"/>
    <numFmt numFmtId="180" formatCode="_(* #,##0.00_%;_(* \(#,##0.00\)__;_(* &quot;--&quot;_%;_(@_)"/>
    <numFmt numFmtId="181" formatCode="_(* #,##0_);_(* \(#,##0\);_(* &quot;--&quot;_);_(@_)"/>
    <numFmt numFmtId="182" formatCode="_(* #,##0.00&quot;%&quot;;_(* \(#,##0.00\)%;_(* &quot;-&quot;_);_(@_)"/>
    <numFmt numFmtId="183" formatCode="#.00"/>
    <numFmt numFmtId="184" formatCode="#,##0."/>
    <numFmt numFmtId="185" formatCode="&quot;$&quot;#."/>
    <numFmt numFmtId="186" formatCode="yyyy"/>
    <numFmt numFmtId="187" formatCode="000\-00\-0000"/>
    <numFmt numFmtId="188" formatCode="#,##0_);\(#,##0\);\-"/>
    <numFmt numFmtId="189" formatCode="0;0;\-"/>
    <numFmt numFmtId="190" formatCode="_(* #,##0.00&quot;%&quot;;_(* \(#,##0.00\);_(* &quot;-&quot;_);_(@_)"/>
    <numFmt numFmtId="191" formatCode="#,###_)_%;\(#,###\)_%"/>
    <numFmt numFmtId="192" formatCode="_._.* #,##0.0_)_%;_._.* \(#,##0.0\)_%"/>
    <numFmt numFmtId="193" formatCode="_._.* #,##0.00_)_%;_._.* \(#,##0.00\)_%"/>
    <numFmt numFmtId="194" formatCode="_._.&quot;$&quot;* #,##0.00_)_%;_._.&quot;$&quot;* \(#,##0.00\)_%"/>
    <numFmt numFmtId="195" formatCode="_._._(* 0_)%;_._.* \(0\)%"/>
    <numFmt numFmtId="196" formatCode="_(0.0_)%;\(0.0\)%"/>
    <numFmt numFmtId="197" formatCode="#,##0_);\(#,##0\);;"/>
    <numFmt numFmtId="198" formatCode="_(* #,##0.00%_);[Red]_(* \(#,##0.00%\);_(0.00%_);@"/>
    <numFmt numFmtId="199" formatCode="mm/dd/yyyy"/>
    <numFmt numFmtId="200" formatCode="#,##0.00;\-#,##0.00;0.00"/>
  </numFmts>
  <fonts count="1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b/>
      <i/>
      <sz val="13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11"/>
      <name val="Times New Roman"/>
      <family val="1"/>
    </font>
    <font>
      <sz val="10.5"/>
      <name val="Cambria"/>
      <family val="1"/>
    </font>
    <font>
      <sz val="11"/>
      <name val="Garamond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Times New Roman"/>
      <family val="1"/>
    </font>
    <font>
      <b/>
      <sz val="16"/>
      <name val="Arial Narrow"/>
      <family val="2"/>
    </font>
    <font>
      <sz val="14"/>
      <name val="Arial Narrow"/>
      <family val="2"/>
    </font>
    <font>
      <b/>
      <sz val="13"/>
      <name val="Arial Narrow"/>
      <family val="2"/>
    </font>
    <font>
      <sz val="12"/>
      <name val="Arial Narrow"/>
      <family val="2"/>
    </font>
    <font>
      <u/>
      <sz val="10"/>
      <name val="Arial Narrow"/>
      <family val="2"/>
    </font>
    <font>
      <sz val="9"/>
      <name val="CG Omega"/>
      <family val="2"/>
    </font>
    <font>
      <sz val="11"/>
      <name val="Arial Narrow"/>
      <family val="2"/>
    </font>
    <font>
      <sz val="9"/>
      <name val="Garamond"/>
      <family val="1"/>
    </font>
    <font>
      <b/>
      <sz val="11"/>
      <name val="Arial Narrow"/>
      <family val="2"/>
    </font>
    <font>
      <sz val="9"/>
      <name val="Arial Narrow"/>
      <family val="2"/>
    </font>
    <font>
      <sz val="9.5"/>
      <name val="Arial Narrow"/>
      <family val="2"/>
    </font>
    <font>
      <sz val="14"/>
      <name val="Univers Condensed"/>
      <family val="2"/>
    </font>
    <font>
      <sz val="10"/>
      <name val="Garamond"/>
      <family val="1"/>
    </font>
    <font>
      <sz val="7"/>
      <name val="Garamond"/>
      <family val="1"/>
    </font>
    <font>
      <sz val="10"/>
      <name val="CG Omega"/>
      <family val="2"/>
    </font>
    <font>
      <b/>
      <sz val="12"/>
      <name val="Garamond"/>
      <family val="1"/>
    </font>
    <font>
      <b/>
      <i/>
      <sz val="11"/>
      <name val="Garamond"/>
      <family val="1"/>
    </font>
    <font>
      <sz val="12"/>
      <name val="Univers Condensed"/>
      <family val="2"/>
    </font>
    <font>
      <b/>
      <sz val="14"/>
      <name val="Univers Condensed"/>
      <family val="2"/>
    </font>
    <font>
      <sz val="8"/>
      <name val="CG Omega"/>
      <family val="2"/>
    </font>
    <font>
      <sz val="18"/>
      <name val="Garamond"/>
      <family val="1"/>
    </font>
    <font>
      <b/>
      <sz val="11"/>
      <color indexed="10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9"/>
      <name val="Franklin Gothic Medium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1"/>
      <name val="Times New Roman"/>
      <family val="1"/>
    </font>
    <font>
      <u val="singleAccounting"/>
      <sz val="11"/>
      <name val="Times New Roman"/>
      <family val="1"/>
    </font>
    <font>
      <b/>
      <sz val="14"/>
      <name val="Arial"/>
      <family val="2"/>
    </font>
    <font>
      <sz val="10.5"/>
      <name val="Cambria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18"/>
      <name val="Arial"/>
      <family val="2"/>
    </font>
    <font>
      <b/>
      <sz val="9"/>
      <color indexed="9"/>
      <name val="Arial"/>
      <family val="2"/>
    </font>
    <font>
      <b/>
      <sz val="9"/>
      <name val="Arial"/>
      <family val="2"/>
    </font>
    <font>
      <sz val="10"/>
      <color indexed="63"/>
      <name val="Arial"/>
      <family val="2"/>
    </font>
    <font>
      <b/>
      <i/>
      <sz val="10"/>
      <color indexed="63"/>
      <name val="Arial"/>
      <family val="2"/>
    </font>
    <font>
      <sz val="10"/>
      <name val="Arial Unicode MS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000000"/>
      <name val="Arial"/>
      <family val="2"/>
    </font>
    <font>
      <sz val="10.5"/>
      <color theme="1"/>
      <name val="Cambria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i/>
      <sz val="11"/>
      <color rgb="FF7F7F7F"/>
      <name val="Calibri"/>
      <family val="2"/>
      <scheme val="minor"/>
    </font>
    <font>
      <u/>
      <sz val="10"/>
      <color rgb="FF800080"/>
      <name val="Arial"/>
      <family val="2"/>
    </font>
    <font>
      <sz val="11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b/>
      <sz val="10"/>
      <color theme="0"/>
      <name val="Arial"/>
      <family val="2"/>
    </font>
    <font>
      <sz val="11"/>
      <color rgb="FFFA7D00"/>
      <name val="Calibri"/>
      <family val="2"/>
      <scheme val="minor"/>
    </font>
    <font>
      <b/>
      <sz val="10"/>
      <color rgb="FF0000FF"/>
      <name val="Arial"/>
      <family val="2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imes"/>
      <family val="1"/>
    </font>
    <font>
      <b/>
      <sz val="8"/>
      <color rgb="FF000000"/>
      <name val="Times"/>
      <family val="1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rgb="FF0000FF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indexed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</font>
    <font>
      <sz val="10"/>
      <name val="Times New Roman"/>
      <family val="1"/>
    </font>
    <font>
      <sz val="11"/>
      <color rgb="FF3F3F76"/>
      <name val="Calibri"/>
      <family val="2"/>
    </font>
    <font>
      <sz val="11"/>
      <color rgb="FF006100"/>
      <name val="Calibri"/>
      <family val="2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rgb="FFC00000"/>
      <name val="Cambria"/>
      <family val="1"/>
    </font>
    <font>
      <b/>
      <sz val="10"/>
      <color rgb="FF000000"/>
      <name val="Cambria"/>
      <family val="1"/>
    </font>
    <font>
      <sz val="11"/>
      <color rgb="FF000000"/>
      <name val="Cambria"/>
      <family val="1"/>
    </font>
    <font>
      <i/>
      <sz val="11"/>
      <color theme="1"/>
      <name val="Cambria"/>
      <family val="1"/>
    </font>
    <font>
      <sz val="11"/>
      <name val="Cambria"/>
      <family val="1"/>
    </font>
  </fonts>
  <fills count="7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99CCFF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C0C0C0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D9D9D9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7D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56">
    <xf numFmtId="0" fontId="0" fillId="0" borderId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6" fillId="42" borderId="0" applyNumberFormat="0" applyBorder="0" applyAlignment="0" applyProtection="0"/>
    <xf numFmtId="0" fontId="5" fillId="2" borderId="0" applyNumberFormat="0" applyBorder="0" applyAlignment="0" applyProtection="0"/>
    <xf numFmtId="0" fontId="5" fillId="16" borderId="0" applyNumberFormat="0" applyBorder="0" applyAlignment="0" applyProtection="0"/>
    <xf numFmtId="0" fontId="5" fillId="2" borderId="0" applyNumberFormat="0" applyBorder="0" applyAlignment="0" applyProtection="0"/>
    <xf numFmtId="0" fontId="5" fillId="16" borderId="0" applyNumberFormat="0" applyBorder="0" applyAlignment="0" applyProtection="0"/>
    <xf numFmtId="0" fontId="76" fillId="43" borderId="0" applyNumberFormat="0" applyBorder="0" applyAlignment="0" applyProtection="0"/>
    <xf numFmtId="0" fontId="5" fillId="17" borderId="0" applyNumberFormat="0" applyBorder="0" applyAlignment="0" applyProtection="0"/>
    <xf numFmtId="0" fontId="5" fillId="7" borderId="0" applyNumberFormat="0" applyBorder="0" applyAlignment="0" applyProtection="0"/>
    <xf numFmtId="0" fontId="5" fillId="17" borderId="0" applyNumberFormat="0" applyBorder="0" applyAlignment="0" applyProtection="0"/>
    <xf numFmtId="0" fontId="5" fillId="7" borderId="0" applyNumberFormat="0" applyBorder="0" applyAlignment="0" applyProtection="0"/>
    <xf numFmtId="0" fontId="76" fillId="44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3" borderId="0" applyNumberFormat="0" applyBorder="0" applyAlignment="0" applyProtection="0"/>
    <xf numFmtId="0" fontId="76" fillId="45" borderId="0" applyNumberFormat="0" applyBorder="0" applyAlignment="0" applyProtection="0"/>
    <xf numFmtId="0" fontId="5" fillId="6" borderId="0" applyNumberFormat="0" applyBorder="0" applyAlignment="0" applyProtection="0"/>
    <xf numFmtId="0" fontId="5" fillId="18" borderId="0" applyNumberFormat="0" applyBorder="0" applyAlignment="0" applyProtection="0"/>
    <xf numFmtId="0" fontId="5" fillId="6" borderId="0" applyNumberFormat="0" applyBorder="0" applyAlignment="0" applyProtection="0"/>
    <xf numFmtId="0" fontId="5" fillId="18" borderId="0" applyNumberFormat="0" applyBorder="0" applyAlignment="0" applyProtection="0"/>
    <xf numFmtId="0" fontId="76" fillId="46" borderId="0" applyNumberFormat="0" applyBorder="0" applyAlignment="0" applyProtection="0"/>
    <xf numFmtId="0" fontId="5" fillId="2" borderId="0" applyNumberFormat="0" applyBorder="0" applyAlignment="0" applyProtection="0"/>
    <xf numFmtId="0" fontId="5" fillId="19" borderId="0" applyNumberFormat="0" applyBorder="0" applyAlignment="0" applyProtection="0"/>
    <xf numFmtId="0" fontId="5" fillId="2" borderId="0" applyNumberFormat="0" applyBorder="0" applyAlignment="0" applyProtection="0"/>
    <xf numFmtId="0" fontId="5" fillId="19" borderId="0" applyNumberFormat="0" applyBorder="0" applyAlignment="0" applyProtection="0"/>
    <xf numFmtId="0" fontId="76" fillId="47" borderId="0" applyNumberFormat="0" applyBorder="0" applyAlignment="0" applyProtection="0"/>
    <xf numFmtId="0" fontId="5" fillId="7" borderId="0" applyNumberFormat="0" applyBorder="0" applyAlignment="0" applyProtection="0"/>
    <xf numFmtId="0" fontId="5" fillId="21" borderId="0" applyNumberFormat="0" applyBorder="0" applyAlignment="0" applyProtection="0"/>
    <xf numFmtId="0" fontId="5" fillId="7" borderId="0" applyNumberFormat="0" applyBorder="0" applyAlignment="0" applyProtection="0"/>
    <xf numFmtId="0" fontId="5" fillId="21" borderId="0" applyNumberFormat="0" applyBorder="0" applyAlignment="0" applyProtection="0"/>
    <xf numFmtId="0" fontId="76" fillId="48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76" fillId="49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76" fillId="50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76" fillId="51" borderId="0" applyNumberFormat="0" applyBorder="0" applyAlignment="0" applyProtection="0"/>
    <xf numFmtId="0" fontId="5" fillId="26" borderId="0" applyNumberFormat="0" applyBorder="0" applyAlignment="0" applyProtection="0"/>
    <xf numFmtId="0" fontId="5" fillId="18" borderId="0" applyNumberFormat="0" applyBorder="0" applyAlignment="0" applyProtection="0"/>
    <xf numFmtId="0" fontId="5" fillId="26" borderId="0" applyNumberFormat="0" applyBorder="0" applyAlignment="0" applyProtection="0"/>
    <xf numFmtId="0" fontId="5" fillId="18" borderId="0" applyNumberFormat="0" applyBorder="0" applyAlignment="0" applyProtection="0"/>
    <xf numFmtId="0" fontId="76" fillId="52" borderId="0" applyNumberFormat="0" applyBorder="0" applyAlignment="0" applyProtection="0"/>
    <xf numFmtId="0" fontId="5" fillId="19" borderId="0" applyNumberFormat="0" applyBorder="0" applyAlignment="0" applyProtection="0"/>
    <xf numFmtId="0" fontId="76" fillId="53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0" fontId="5" fillId="24" borderId="0" applyNumberFormat="0" applyBorder="0" applyAlignment="0" applyProtection="0"/>
    <xf numFmtId="0" fontId="5" fillId="17" borderId="0" applyNumberFormat="0" applyBorder="0" applyAlignment="0" applyProtection="0"/>
    <xf numFmtId="40" fontId="67" fillId="0" borderId="1">
      <alignment horizontal="right"/>
    </xf>
    <xf numFmtId="0" fontId="66" fillId="0" borderId="0">
      <alignment horizontal="left"/>
    </xf>
    <xf numFmtId="40" fontId="2" fillId="0" borderId="0"/>
    <xf numFmtId="0" fontId="66" fillId="0" borderId="0">
      <alignment horizontal="left"/>
    </xf>
    <xf numFmtId="0" fontId="67" fillId="0" borderId="0">
      <alignment horizontal="right"/>
      <protection locked="0"/>
    </xf>
    <xf numFmtId="198" fontId="67" fillId="0" borderId="1">
      <alignment horizontal="right"/>
    </xf>
    <xf numFmtId="40" fontId="67" fillId="0" borderId="0">
      <alignment horizontal="right"/>
    </xf>
    <xf numFmtId="40" fontId="2" fillId="0" borderId="0">
      <alignment horizontal="right"/>
    </xf>
    <xf numFmtId="40" fontId="77" fillId="0" borderId="0">
      <alignment horizontal="right"/>
    </xf>
    <xf numFmtId="0" fontId="2" fillId="0" borderId="0">
      <alignment horizontal="left"/>
    </xf>
    <xf numFmtId="40" fontId="2" fillId="0" borderId="0"/>
    <xf numFmtId="0" fontId="2" fillId="0" borderId="0">
      <alignment horizontal="left"/>
    </xf>
    <xf numFmtId="0" fontId="2" fillId="0" borderId="0">
      <protection locked="0"/>
    </xf>
    <xf numFmtId="198" fontId="2" fillId="0" borderId="0">
      <alignment horizontal="right"/>
    </xf>
    <xf numFmtId="0" fontId="2" fillId="0" borderId="0"/>
    <xf numFmtId="40" fontId="68" fillId="27" borderId="0">
      <alignment horizontal="right" vertical="center"/>
    </xf>
    <xf numFmtId="40" fontId="68" fillId="27" borderId="0">
      <alignment horizontal="left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0" fontId="68" fillId="27" borderId="0">
      <alignment horizontal="right" vertical="center"/>
      <protection locked="0"/>
    </xf>
    <xf numFmtId="40" fontId="68" fillId="27" borderId="0">
      <alignment horizontal="right" vertical="center"/>
    </xf>
    <xf numFmtId="40" fontId="68" fillId="27" borderId="0">
      <alignment horizontal="right"/>
    </xf>
    <xf numFmtId="40" fontId="68" fillId="27" borderId="0">
      <alignment horizontal="center" vertical="center"/>
    </xf>
    <xf numFmtId="40" fontId="2" fillId="0" borderId="0"/>
    <xf numFmtId="0" fontId="2" fillId="0" borderId="0">
      <alignment horizontal="left"/>
    </xf>
    <xf numFmtId="40" fontId="2" fillId="0" borderId="0"/>
    <xf numFmtId="40" fontId="2" fillId="0" borderId="0">
      <alignment horizontal="center" vertical="center"/>
    </xf>
    <xf numFmtId="0" fontId="2" fillId="0" borderId="0"/>
    <xf numFmtId="198" fontId="2" fillId="0" borderId="0">
      <alignment horizontal="right"/>
    </xf>
    <xf numFmtId="40" fontId="2" fillId="0" borderId="0"/>
    <xf numFmtId="40" fontId="68" fillId="27" borderId="0">
      <alignment horizontal="center" vertical="center"/>
    </xf>
    <xf numFmtId="40" fontId="68" fillId="27" borderId="0">
      <alignment horizontal="center" vertical="center"/>
    </xf>
    <xf numFmtId="198" fontId="68" fillId="27" borderId="0">
      <alignment horizontal="center" vertical="center"/>
    </xf>
    <xf numFmtId="40" fontId="68" fillId="27" borderId="0">
      <alignment horizontal="right"/>
    </xf>
    <xf numFmtId="40" fontId="67" fillId="0" borderId="2">
      <alignment horizontal="right"/>
    </xf>
    <xf numFmtId="0" fontId="66" fillId="0" borderId="0">
      <alignment horizontal="left"/>
    </xf>
    <xf numFmtId="40" fontId="2" fillId="0" borderId="0"/>
    <xf numFmtId="0" fontId="66" fillId="0" borderId="0">
      <alignment horizontal="left"/>
    </xf>
    <xf numFmtId="0" fontId="67" fillId="0" borderId="0">
      <alignment horizontal="right"/>
      <protection locked="0"/>
    </xf>
    <xf numFmtId="198" fontId="67" fillId="0" borderId="2">
      <alignment horizontal="right"/>
    </xf>
    <xf numFmtId="40" fontId="67" fillId="0" borderId="0">
      <alignment horizontal="right"/>
    </xf>
    <xf numFmtId="41" fontId="24" fillId="0" borderId="0"/>
    <xf numFmtId="9" fontId="24" fillId="0" borderId="0">
      <alignment horizontal="center"/>
    </xf>
    <xf numFmtId="0" fontId="78" fillId="54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40" fontId="2" fillId="0" borderId="0"/>
    <xf numFmtId="40" fontId="2" fillId="0" borderId="0"/>
    <xf numFmtId="0" fontId="79" fillId="55" borderId="20" applyNumberFormat="0" applyAlignment="0" applyProtection="0"/>
    <xf numFmtId="0" fontId="50" fillId="8" borderId="3" applyNumberFormat="0" applyAlignment="0" applyProtection="0"/>
    <xf numFmtId="0" fontId="7" fillId="12" borderId="3" applyNumberFormat="0" applyAlignment="0" applyProtection="0"/>
    <xf numFmtId="0" fontId="50" fillId="8" borderId="3" applyNumberFormat="0" applyAlignment="0" applyProtection="0"/>
    <xf numFmtId="0" fontId="7" fillId="12" borderId="3" applyNumberFormat="0" applyAlignment="0" applyProtection="0"/>
    <xf numFmtId="44" fontId="3" fillId="0" borderId="0" applyFill="0" applyBorder="0" applyProtection="0"/>
    <xf numFmtId="0" fontId="38" fillId="0" borderId="0" applyFill="0" applyBorder="0" applyProtection="0">
      <alignment horizontal="right" wrapText="1"/>
    </xf>
    <xf numFmtId="0" fontId="37" fillId="0" borderId="0" applyNumberFormat="0" applyFill="0" applyBorder="0" applyProtection="0"/>
    <xf numFmtId="43" fontId="3" fillId="0" borderId="0" applyFill="0" applyBorder="0" applyProtection="0"/>
    <xf numFmtId="178" fontId="39" fillId="0" borderId="0" applyFill="0" applyBorder="0" applyProtection="0">
      <alignment horizontal="left"/>
    </xf>
    <xf numFmtId="178" fontId="39" fillId="0" borderId="0" applyNumberFormat="0" applyFill="0" applyBorder="0" applyProtection="0">
      <alignment horizontal="left"/>
    </xf>
    <xf numFmtId="178" fontId="36" fillId="0" borderId="0" applyFill="0" applyBorder="0" applyProtection="0">
      <alignment horizontal="left"/>
    </xf>
    <xf numFmtId="0" fontId="61" fillId="0" borderId="0" applyFill="0" applyBorder="0" applyProtection="0">
      <alignment horizontal="center"/>
    </xf>
    <xf numFmtId="0" fontId="80" fillId="56" borderId="21" applyNumberFormat="0" applyAlignment="0" applyProtection="0"/>
    <xf numFmtId="0" fontId="8" fillId="25" borderId="4" applyNumberFormat="0" applyAlignment="0" applyProtection="0"/>
    <xf numFmtId="40" fontId="67" fillId="0" borderId="5">
      <alignment horizontal="right"/>
    </xf>
    <xf numFmtId="40" fontId="67" fillId="0" borderId="0">
      <alignment horizontal="left"/>
    </xf>
    <xf numFmtId="40" fontId="2" fillId="0" borderId="0"/>
    <xf numFmtId="40" fontId="67" fillId="0" borderId="0">
      <alignment horizontal="left"/>
    </xf>
    <xf numFmtId="0" fontId="67" fillId="0" borderId="0">
      <alignment horizontal="right"/>
      <protection locked="0"/>
    </xf>
    <xf numFmtId="198" fontId="67" fillId="0" borderId="5">
      <alignment horizontal="right"/>
    </xf>
    <xf numFmtId="40" fontId="67" fillId="0" borderId="0">
      <alignment horizontal="right"/>
    </xf>
    <xf numFmtId="41" fontId="24" fillId="0" borderId="0">
      <alignment horizontal="centerContinuous"/>
    </xf>
    <xf numFmtId="41" fontId="24" fillId="0" borderId="0">
      <alignment horizontal="center"/>
    </xf>
    <xf numFmtId="41" fontId="24" fillId="0" borderId="1">
      <alignment horizontal="centerContinuous"/>
    </xf>
    <xf numFmtId="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68" fillId="27" borderId="0">
      <alignment horizontal="center" vertical="center"/>
    </xf>
    <xf numFmtId="40" fontId="2" fillId="0" borderId="0"/>
    <xf numFmtId="40" fontId="2" fillId="0" borderId="0"/>
    <xf numFmtId="40" fontId="2" fillId="0" borderId="0"/>
    <xf numFmtId="40" fontId="2" fillId="0" borderId="0"/>
    <xf numFmtId="40" fontId="2" fillId="0" borderId="0">
      <protection locked="0"/>
    </xf>
    <xf numFmtId="40" fontId="2" fillId="0" borderId="0"/>
    <xf numFmtId="40" fontId="2" fillId="0" borderId="0"/>
    <xf numFmtId="43" fontId="75" fillId="0" borderId="0" applyFont="0" applyFill="0" applyBorder="0" applyAlignment="0" applyProtection="0"/>
    <xf numFmtId="191" fontId="23" fillId="0" borderId="0" applyFont="0" applyFill="0" applyBorder="0" applyAlignment="0" applyProtection="0">
      <protection locked="0"/>
    </xf>
    <xf numFmtId="192" fontId="23" fillId="0" borderId="0" applyFont="0" applyFill="0" applyBorder="0" applyAlignment="0" applyProtection="0"/>
    <xf numFmtId="193" fontId="6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84" fontId="26" fillId="0" borderId="0">
      <protection locked="0"/>
    </xf>
    <xf numFmtId="3" fontId="2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63" fillId="0" borderId="0" applyFill="0" applyBorder="0" applyAlignment="0" applyProtection="0">
      <protection locked="0"/>
    </xf>
    <xf numFmtId="44" fontId="75" fillId="0" borderId="0" applyFont="0" applyFill="0" applyBorder="0" applyAlignment="0" applyProtection="0"/>
    <xf numFmtId="194" fontId="6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8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185" fontId="26" fillId="0" borderId="0">
      <protection locked="0"/>
    </xf>
    <xf numFmtId="5" fontId="2" fillId="0" borderId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6" fillId="0" borderId="0">
      <protection locked="0"/>
    </xf>
    <xf numFmtId="14" fontId="2" fillId="0" borderId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3" fontId="26" fillId="0" borderId="0">
      <protection locked="0"/>
    </xf>
    <xf numFmtId="2" fontId="2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77" fontId="2" fillId="0" borderId="0"/>
    <xf numFmtId="0" fontId="67" fillId="57" borderId="0">
      <alignment horizontal="center" vertical="center"/>
    </xf>
    <xf numFmtId="40" fontId="67" fillId="57" borderId="0">
      <alignment horizontal="center" vertical="center"/>
    </xf>
    <xf numFmtId="40" fontId="67" fillId="57" borderId="0">
      <alignment horizontal="center" vertical="center"/>
    </xf>
    <xf numFmtId="0" fontId="67" fillId="57" borderId="0">
      <alignment horizontal="left" vertical="center"/>
    </xf>
    <xf numFmtId="0" fontId="67" fillId="28" borderId="0">
      <alignment horizontal="left"/>
    </xf>
    <xf numFmtId="40" fontId="2" fillId="0" borderId="0"/>
    <xf numFmtId="0" fontId="67" fillId="28" borderId="0">
      <alignment horizontal="left"/>
    </xf>
    <xf numFmtId="0" fontId="89" fillId="58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90" fillId="58" borderId="0" applyNumberFormat="0" applyBorder="0" applyAlignment="0" applyProtection="0"/>
    <xf numFmtId="40" fontId="67" fillId="0" borderId="0">
      <alignment horizontal="right"/>
    </xf>
    <xf numFmtId="40" fontId="68" fillId="27" borderId="0"/>
    <xf numFmtId="40" fontId="68" fillId="27" borderId="0"/>
    <xf numFmtId="40" fontId="2" fillId="0" borderId="0"/>
    <xf numFmtId="0" fontId="20" fillId="0" borderId="0">
      <alignment horizontal="centerContinuous"/>
    </xf>
    <xf numFmtId="0" fontId="91" fillId="0" borderId="22" applyNumberFormat="0" applyFill="0" applyAlignment="0" applyProtection="0"/>
    <xf numFmtId="0" fontId="27" fillId="0" borderId="0">
      <protection locked="0"/>
    </xf>
    <xf numFmtId="0" fontId="57" fillId="0" borderId="6" applyNumberFormat="0" applyFill="0" applyAlignment="0" applyProtection="0"/>
    <xf numFmtId="0" fontId="51" fillId="0" borderId="0"/>
    <xf numFmtId="0" fontId="57" fillId="0" borderId="6" applyNumberFormat="0" applyFill="0" applyAlignment="0" applyProtection="0"/>
    <xf numFmtId="0" fontId="51" fillId="0" borderId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92" fillId="0" borderId="23" applyNumberFormat="0" applyFill="0" applyAlignment="0" applyProtection="0"/>
    <xf numFmtId="0" fontId="26" fillId="0" borderId="0">
      <protection locked="0"/>
    </xf>
    <xf numFmtId="0" fontId="58" fillId="0" borderId="7" applyNumberFormat="0" applyFill="0" applyAlignment="0" applyProtection="0"/>
    <xf numFmtId="0" fontId="52" fillId="0" borderId="0"/>
    <xf numFmtId="0" fontId="58" fillId="0" borderId="7" applyNumberFormat="0" applyFill="0" applyAlignment="0" applyProtection="0"/>
    <xf numFmtId="0" fontId="52" fillId="0" borderId="0"/>
    <xf numFmtId="0" fontId="52" fillId="0" borderId="0" applyNumberFormat="0" applyFont="0" applyFill="0" applyAlignment="0" applyProtection="0"/>
    <xf numFmtId="0" fontId="52" fillId="0" borderId="0" applyNumberFormat="0" applyFont="0" applyFill="0" applyAlignment="0" applyProtection="0"/>
    <xf numFmtId="0" fontId="52" fillId="0" borderId="0" applyNumberFormat="0" applyFont="0" applyFill="0" applyAlignment="0" applyProtection="0"/>
    <xf numFmtId="0" fontId="52" fillId="0" borderId="0" applyNumberFormat="0" applyFont="0" applyFill="0" applyAlignment="0" applyProtection="0"/>
    <xf numFmtId="0" fontId="93" fillId="0" borderId="24" applyNumberFormat="0" applyFill="0" applyAlignment="0" applyProtection="0"/>
    <xf numFmtId="0" fontId="53" fillId="0" borderId="8" applyNumberFormat="0" applyFill="0" applyAlignment="0" applyProtection="0"/>
    <xf numFmtId="0" fontId="59" fillId="0" borderId="9" applyNumberFormat="0" applyFill="0" applyAlignment="0" applyProtection="0"/>
    <xf numFmtId="0" fontId="53" fillId="0" borderId="8" applyNumberFormat="0" applyFill="0" applyAlignment="0" applyProtection="0"/>
    <xf numFmtId="0" fontId="59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>
      <alignment vertical="top"/>
      <protection locked="0"/>
    </xf>
    <xf numFmtId="0" fontId="96" fillId="59" borderId="20" applyNumberFormat="0" applyAlignment="0" applyProtection="0"/>
    <xf numFmtId="0" fontId="11" fillId="14" borderId="3" applyNumberFormat="0" applyAlignment="0" applyProtection="0"/>
    <xf numFmtId="0" fontId="11" fillId="5" borderId="3" applyNumberFormat="0" applyAlignment="0" applyProtection="0"/>
    <xf numFmtId="0" fontId="11" fillId="14" borderId="3" applyNumberFormat="0" applyAlignment="0" applyProtection="0"/>
    <xf numFmtId="0" fontId="11" fillId="5" borderId="3" applyNumberFormat="0" applyAlignment="0" applyProtection="0"/>
    <xf numFmtId="0" fontId="22" fillId="60" borderId="0">
      <alignment horizontal="left" vertical="top" wrapText="1"/>
    </xf>
    <xf numFmtId="40" fontId="22" fillId="0" borderId="0"/>
    <xf numFmtId="40" fontId="22" fillId="0" borderId="0"/>
    <xf numFmtId="0" fontId="22" fillId="0" borderId="0">
      <alignment horizontal="left"/>
    </xf>
    <xf numFmtId="0" fontId="22" fillId="0" borderId="0">
      <alignment horizontal="center"/>
    </xf>
    <xf numFmtId="0" fontId="69" fillId="0" borderId="0">
      <alignment horizontal="center"/>
      <protection locked="0"/>
    </xf>
    <xf numFmtId="0" fontId="69" fillId="0" borderId="0">
      <alignment horizontal="center"/>
    </xf>
    <xf numFmtId="0" fontId="67" fillId="28" borderId="0">
      <alignment horizontal="left"/>
    </xf>
    <xf numFmtId="0" fontId="67" fillId="28" borderId="0">
      <alignment horizontal="center"/>
    </xf>
    <xf numFmtId="0" fontId="70" fillId="27" borderId="0">
      <alignment horizontal="left"/>
    </xf>
    <xf numFmtId="0" fontId="70" fillId="27" borderId="0">
      <alignment horizontal="left"/>
    </xf>
    <xf numFmtId="0" fontId="69" fillId="0" borderId="0">
      <alignment horizontal="center"/>
      <protection locked="0"/>
    </xf>
    <xf numFmtId="0" fontId="69" fillId="0" borderId="0">
      <alignment horizontal="center"/>
    </xf>
    <xf numFmtId="40" fontId="71" fillId="0" borderId="10"/>
    <xf numFmtId="40" fontId="71" fillId="0" borderId="10"/>
    <xf numFmtId="0" fontId="71" fillId="0" borderId="0"/>
    <xf numFmtId="0" fontId="71" fillId="0" borderId="0"/>
    <xf numFmtId="0" fontId="69" fillId="0" borderId="0">
      <alignment horizontal="center"/>
      <protection locked="0"/>
    </xf>
    <xf numFmtId="0" fontId="69" fillId="0" borderId="0">
      <alignment horizontal="center"/>
    </xf>
    <xf numFmtId="0" fontId="97" fillId="61" borderId="0">
      <alignment horizontal="left"/>
    </xf>
    <xf numFmtId="0" fontId="97" fillId="61" borderId="0">
      <alignment horizontal="left"/>
    </xf>
    <xf numFmtId="0" fontId="98" fillId="0" borderId="25" applyNumberFormat="0" applyFill="0" applyAlignment="0" applyProtection="0"/>
    <xf numFmtId="0" fontId="17" fillId="0" borderId="12" applyNumberFormat="0" applyFill="0" applyAlignment="0" applyProtection="0"/>
    <xf numFmtId="0" fontId="12" fillId="0" borderId="11" applyNumberFormat="0" applyFill="0" applyAlignment="0" applyProtection="0"/>
    <xf numFmtId="0" fontId="17" fillId="0" borderId="12" applyNumberFormat="0" applyFill="0" applyAlignment="0" applyProtection="0"/>
    <xf numFmtId="0" fontId="12" fillId="0" borderId="11" applyNumberFormat="0" applyFill="0" applyAlignment="0" applyProtection="0"/>
    <xf numFmtId="0" fontId="19" fillId="0" borderId="0"/>
    <xf numFmtId="0" fontId="2" fillId="0" borderId="0"/>
    <xf numFmtId="0" fontId="40" fillId="0" borderId="0" applyNumberFormat="0" applyFill="0" applyBorder="0" applyProtection="0"/>
    <xf numFmtId="40" fontId="67" fillId="0" borderId="2">
      <alignment horizontal="right"/>
    </xf>
    <xf numFmtId="0" fontId="99" fillId="0" borderId="0">
      <alignment horizontal="left"/>
    </xf>
    <xf numFmtId="40" fontId="2" fillId="0" borderId="0"/>
    <xf numFmtId="0" fontId="99" fillId="0" borderId="0">
      <alignment horizontal="left"/>
    </xf>
    <xf numFmtId="0" fontId="67" fillId="0" borderId="0" applyBorder="0">
      <alignment horizontal="right"/>
      <protection locked="0"/>
    </xf>
    <xf numFmtId="198" fontId="67" fillId="0" borderId="2">
      <alignment horizontal="right"/>
    </xf>
    <xf numFmtId="40" fontId="67" fillId="0" borderId="0" applyBorder="0">
      <alignment horizontal="right"/>
    </xf>
    <xf numFmtId="0" fontId="100" fillId="62" borderId="0" applyNumberFormat="0" applyBorder="0" applyAlignment="0" applyProtection="0"/>
    <xf numFmtId="0" fontId="54" fillId="14" borderId="0" applyNumberFormat="0" applyBorder="0" applyAlignment="0" applyProtection="0"/>
    <xf numFmtId="0" fontId="13" fillId="14" borderId="0" applyNumberFormat="0" applyBorder="0" applyAlignment="0" applyProtection="0"/>
    <xf numFmtId="0" fontId="54" fillId="14" borderId="0" applyNumberFormat="0" applyBorder="0" applyAlignment="0" applyProtection="0"/>
    <xf numFmtId="0" fontId="13" fillId="14" borderId="0" applyNumberFormat="0" applyBorder="0" applyAlignment="0" applyProtection="0"/>
    <xf numFmtId="0" fontId="44" fillId="0" borderId="0" applyNumberFormat="0" applyFill="0" applyBorder="0" applyProtection="0"/>
    <xf numFmtId="0" fontId="2" fillId="0" borderId="0"/>
    <xf numFmtId="0" fontId="28" fillId="0" borderId="0"/>
    <xf numFmtId="0" fontId="2" fillId="0" borderId="0">
      <alignment vertical="top"/>
    </xf>
    <xf numFmtId="0" fontId="75" fillId="0" borderId="0"/>
    <xf numFmtId="0" fontId="21" fillId="0" borderId="0"/>
    <xf numFmtId="0" fontId="2" fillId="0" borderId="0">
      <alignment vertical="top"/>
    </xf>
    <xf numFmtId="0" fontId="18" fillId="0" borderId="0"/>
    <xf numFmtId="0" fontId="2" fillId="0" borderId="0">
      <alignment vertical="top"/>
    </xf>
    <xf numFmtId="0" fontId="75" fillId="0" borderId="0"/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75" fillId="0" borderId="0"/>
    <xf numFmtId="0" fontId="28" fillId="0" borderId="0"/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75" fillId="0" borderId="0"/>
    <xf numFmtId="0" fontId="21" fillId="0" borderId="0"/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18" fillId="0" borderId="0"/>
    <xf numFmtId="0" fontId="28" fillId="0" borderId="0"/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1" fillId="0" borderId="0"/>
    <xf numFmtId="0" fontId="28" fillId="0" borderId="0"/>
    <xf numFmtId="0" fontId="2" fillId="0" borderId="0">
      <alignment vertical="top"/>
    </xf>
    <xf numFmtId="0" fontId="21" fillId="0" borderId="0"/>
    <xf numFmtId="0" fontId="2" fillId="0" borderId="0">
      <alignment vertical="top"/>
    </xf>
    <xf numFmtId="0" fontId="18" fillId="0" borderId="0"/>
    <xf numFmtId="0" fontId="21" fillId="0" borderId="0"/>
    <xf numFmtId="0" fontId="18" fillId="0" borderId="0"/>
    <xf numFmtId="0" fontId="2" fillId="0" borderId="0">
      <alignment vertical="top"/>
    </xf>
    <xf numFmtId="0" fontId="18" fillId="0" borderId="0"/>
    <xf numFmtId="0" fontId="75" fillId="0" borderId="0"/>
    <xf numFmtId="0" fontId="28" fillId="0" borderId="0"/>
    <xf numFmtId="0" fontId="2" fillId="0" borderId="0">
      <alignment vertical="top"/>
    </xf>
    <xf numFmtId="0" fontId="75" fillId="0" borderId="0"/>
    <xf numFmtId="0" fontId="2" fillId="0" borderId="0">
      <alignment vertical="top"/>
    </xf>
    <xf numFmtId="0" fontId="75" fillId="0" borderId="0"/>
    <xf numFmtId="0" fontId="2" fillId="0" borderId="0">
      <alignment vertical="top"/>
    </xf>
    <xf numFmtId="0" fontId="75" fillId="0" borderId="0"/>
    <xf numFmtId="0" fontId="28" fillId="0" borderId="0"/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" fillId="0" borderId="0">
      <alignment vertical="top"/>
    </xf>
    <xf numFmtId="0" fontId="75" fillId="0" borderId="0"/>
    <xf numFmtId="0" fontId="28" fillId="0" borderId="0"/>
    <xf numFmtId="0" fontId="2" fillId="0" borderId="0">
      <alignment vertical="top"/>
    </xf>
    <xf numFmtId="0" fontId="75" fillId="0" borderId="0"/>
    <xf numFmtId="0" fontId="75" fillId="0" borderId="0"/>
    <xf numFmtId="0" fontId="75" fillId="0" borderId="0"/>
    <xf numFmtId="0" fontId="2" fillId="0" borderId="0">
      <alignment vertical="top"/>
    </xf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56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86" fillId="0" borderId="0"/>
    <xf numFmtId="0" fontId="56" fillId="0" borderId="0"/>
    <xf numFmtId="0" fontId="2" fillId="0" borderId="0"/>
    <xf numFmtId="0" fontId="21" fillId="0" borderId="0"/>
    <xf numFmtId="0" fontId="18" fillId="0" borderId="0"/>
    <xf numFmtId="0" fontId="2" fillId="0" borderId="0"/>
    <xf numFmtId="0" fontId="21" fillId="0" borderId="0"/>
    <xf numFmtId="0" fontId="2" fillId="0" borderId="0"/>
    <xf numFmtId="0" fontId="18" fillId="0" borderId="0"/>
    <xf numFmtId="0" fontId="56" fillId="0" borderId="0"/>
    <xf numFmtId="0" fontId="2" fillId="0" borderId="0"/>
    <xf numFmtId="0" fontId="75" fillId="0" borderId="0"/>
    <xf numFmtId="0" fontId="75" fillId="0" borderId="0"/>
    <xf numFmtId="0" fontId="21" fillId="0" borderId="0"/>
    <xf numFmtId="0" fontId="18" fillId="0" borderId="0"/>
    <xf numFmtId="181" fontId="21" fillId="0" borderId="0"/>
    <xf numFmtId="0" fontId="2" fillId="0" borderId="0"/>
    <xf numFmtId="0" fontId="81" fillId="0" borderId="0"/>
    <xf numFmtId="0" fontId="2" fillId="0" borderId="0"/>
    <xf numFmtId="0" fontId="56" fillId="0" borderId="0"/>
    <xf numFmtId="0" fontId="2" fillId="0" borderId="0"/>
    <xf numFmtId="181" fontId="18" fillId="0" borderId="0"/>
    <xf numFmtId="0" fontId="21" fillId="0" borderId="0"/>
    <xf numFmtId="0" fontId="56" fillId="0" borderId="0"/>
    <xf numFmtId="0" fontId="81" fillId="0" borderId="0"/>
    <xf numFmtId="0" fontId="81" fillId="0" borderId="0"/>
    <xf numFmtId="0" fontId="75" fillId="0" borderId="0"/>
    <xf numFmtId="0" fontId="75" fillId="0" borderId="0"/>
    <xf numFmtId="0" fontId="18" fillId="0" borderId="0"/>
    <xf numFmtId="0" fontId="2" fillId="0" borderId="0"/>
    <xf numFmtId="0" fontId="56" fillId="0" borderId="0"/>
    <xf numFmtId="0" fontId="2" fillId="0" borderId="0"/>
    <xf numFmtId="0" fontId="2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8" fillId="0" borderId="0"/>
    <xf numFmtId="0" fontId="75" fillId="0" borderId="0"/>
    <xf numFmtId="0" fontId="28" fillId="0" borderId="0"/>
    <xf numFmtId="0" fontId="2" fillId="0" borderId="0"/>
    <xf numFmtId="0" fontId="21" fillId="0" borderId="0"/>
    <xf numFmtId="0" fontId="18" fillId="0" borderId="0"/>
    <xf numFmtId="0" fontId="2" fillId="0" borderId="0"/>
    <xf numFmtId="0" fontId="75" fillId="0" borderId="0"/>
    <xf numFmtId="0" fontId="75" fillId="0" borderId="0"/>
    <xf numFmtId="0" fontId="28" fillId="0" borderId="0"/>
    <xf numFmtId="0" fontId="2" fillId="0" borderId="0">
      <alignment vertical="top"/>
    </xf>
    <xf numFmtId="0" fontId="14" fillId="0" borderId="0"/>
    <xf numFmtId="0" fontId="14" fillId="0" borderId="0"/>
    <xf numFmtId="0" fontId="2" fillId="0" borderId="0"/>
    <xf numFmtId="0" fontId="28" fillId="0" borderId="0"/>
    <xf numFmtId="200" fontId="82" fillId="0" borderId="0"/>
    <xf numFmtId="0" fontId="14" fillId="0" borderId="0"/>
    <xf numFmtId="0" fontId="56" fillId="0" borderId="0"/>
    <xf numFmtId="0" fontId="28" fillId="0" borderId="0"/>
    <xf numFmtId="0" fontId="101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8" fillId="0" borderId="0"/>
    <xf numFmtId="0" fontId="2" fillId="0" borderId="0"/>
    <xf numFmtId="0" fontId="56" fillId="0" borderId="0"/>
    <xf numFmtId="0" fontId="21" fillId="0" borderId="0"/>
    <xf numFmtId="0" fontId="18" fillId="0" borderId="0"/>
    <xf numFmtId="0" fontId="64" fillId="0" borderId="0"/>
    <xf numFmtId="0" fontId="83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83" fillId="0" borderId="0"/>
    <xf numFmtId="0" fontId="84" fillId="0" borderId="0"/>
    <xf numFmtId="0" fontId="102" fillId="0" borderId="0"/>
    <xf numFmtId="0" fontId="2" fillId="0" borderId="0"/>
    <xf numFmtId="0" fontId="74" fillId="0" borderId="0"/>
    <xf numFmtId="0" fontId="14" fillId="0" borderId="0"/>
    <xf numFmtId="0" fontId="2" fillId="0" borderId="0"/>
    <xf numFmtId="0" fontId="75" fillId="0" borderId="0"/>
    <xf numFmtId="0" fontId="28" fillId="0" borderId="0"/>
    <xf numFmtId="0" fontId="2" fillId="0" borderId="0">
      <alignment vertical="top"/>
    </xf>
    <xf numFmtId="0" fontId="75" fillId="0" borderId="0"/>
    <xf numFmtId="0" fontId="14" fillId="0" borderId="0"/>
    <xf numFmtId="0" fontId="2" fillId="0" borderId="0"/>
    <xf numFmtId="0" fontId="28" fillId="0" borderId="0"/>
    <xf numFmtId="0" fontId="2" fillId="0" borderId="0">
      <alignment vertical="top"/>
    </xf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" fillId="0" borderId="0">
      <alignment vertical="top"/>
    </xf>
    <xf numFmtId="0" fontId="103" fillId="0" borderId="0"/>
    <xf numFmtId="0" fontId="85" fillId="0" borderId="0"/>
    <xf numFmtId="0" fontId="28" fillId="0" borderId="0"/>
    <xf numFmtId="0" fontId="21" fillId="0" borderId="0"/>
    <xf numFmtId="0" fontId="75" fillId="0" borderId="0"/>
    <xf numFmtId="0" fontId="18" fillId="0" borderId="0"/>
    <xf numFmtId="0" fontId="2" fillId="0" borderId="0">
      <alignment vertical="top"/>
    </xf>
    <xf numFmtId="0" fontId="75" fillId="0" borderId="0"/>
    <xf numFmtId="0" fontId="28" fillId="0" borderId="0"/>
    <xf numFmtId="0" fontId="21" fillId="0" borderId="0"/>
    <xf numFmtId="0" fontId="18" fillId="0" borderId="0"/>
    <xf numFmtId="0" fontId="2" fillId="0" borderId="0">
      <alignment vertical="top"/>
    </xf>
    <xf numFmtId="0" fontId="21" fillId="0" borderId="0"/>
    <xf numFmtId="0" fontId="18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28" fillId="0" borderId="0"/>
    <xf numFmtId="0" fontId="2" fillId="0" borderId="0">
      <alignment vertical="top"/>
    </xf>
    <xf numFmtId="0" fontId="2" fillId="0" borderId="0"/>
    <xf numFmtId="0" fontId="75" fillId="0" borderId="0"/>
    <xf numFmtId="0" fontId="2" fillId="0" borderId="0">
      <alignment vertical="top"/>
    </xf>
    <xf numFmtId="0" fontId="75" fillId="0" borderId="0"/>
    <xf numFmtId="0" fontId="75" fillId="0" borderId="0"/>
    <xf numFmtId="0" fontId="75" fillId="0" borderId="0"/>
    <xf numFmtId="0" fontId="75" fillId="0" borderId="0"/>
    <xf numFmtId="200" fontId="82" fillId="0" borderId="0"/>
    <xf numFmtId="0" fontId="21" fillId="0" borderId="0"/>
    <xf numFmtId="0" fontId="18" fillId="0" borderId="0"/>
    <xf numFmtId="0" fontId="21" fillId="0" borderId="0"/>
    <xf numFmtId="0" fontId="1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1" fillId="0" borderId="0"/>
    <xf numFmtId="0" fontId="18" fillId="0" borderId="0"/>
    <xf numFmtId="0" fontId="2" fillId="0" borderId="0">
      <alignment vertical="top"/>
    </xf>
    <xf numFmtId="0" fontId="75" fillId="0" borderId="0"/>
    <xf numFmtId="0" fontId="2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" fillId="0" borderId="0">
      <alignment vertical="top"/>
    </xf>
    <xf numFmtId="0" fontId="21" fillId="0" borderId="0"/>
    <xf numFmtId="0" fontId="75" fillId="0" borderId="0"/>
    <xf numFmtId="0" fontId="18" fillId="0" borderId="0"/>
    <xf numFmtId="0" fontId="21" fillId="0" borderId="0"/>
    <xf numFmtId="0" fontId="1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8" fillId="0" borderId="0"/>
    <xf numFmtId="0" fontId="2" fillId="0" borderId="0">
      <alignment vertical="top"/>
    </xf>
    <xf numFmtId="0" fontId="75" fillId="0" borderId="0"/>
    <xf numFmtId="0" fontId="75" fillId="0" borderId="0"/>
    <xf numFmtId="0" fontId="28" fillId="0" borderId="0"/>
    <xf numFmtId="0" fontId="2" fillId="0" borderId="0">
      <alignment vertical="top"/>
    </xf>
    <xf numFmtId="0" fontId="84" fillId="0" borderId="0"/>
    <xf numFmtId="0" fontId="2" fillId="0" borderId="0"/>
    <xf numFmtId="0" fontId="2" fillId="0" borderId="0"/>
    <xf numFmtId="0" fontId="21" fillId="0" borderId="0"/>
    <xf numFmtId="0" fontId="18" fillId="0" borderId="0"/>
    <xf numFmtId="0" fontId="2" fillId="0" borderId="0">
      <alignment vertical="top"/>
    </xf>
    <xf numFmtId="0" fontId="75" fillId="0" borderId="0"/>
    <xf numFmtId="0" fontId="2" fillId="0" borderId="0"/>
    <xf numFmtId="0" fontId="28" fillId="0" borderId="0"/>
    <xf numFmtId="0" fontId="2" fillId="0" borderId="0">
      <alignment vertical="top"/>
    </xf>
    <xf numFmtId="0" fontId="75" fillId="0" borderId="0"/>
    <xf numFmtId="0" fontId="2" fillId="0" borderId="0"/>
    <xf numFmtId="0" fontId="2" fillId="0" borderId="0">
      <alignment vertical="top"/>
    </xf>
    <xf numFmtId="0" fontId="75" fillId="0" borderId="0"/>
    <xf numFmtId="0" fontId="2" fillId="0" borderId="0">
      <alignment vertical="top"/>
    </xf>
    <xf numFmtId="0" fontId="75" fillId="0" borderId="0"/>
    <xf numFmtId="0" fontId="28" fillId="0" borderId="0"/>
    <xf numFmtId="0" fontId="28" fillId="0" borderId="0"/>
    <xf numFmtId="0" fontId="2" fillId="0" borderId="0">
      <alignment vertical="top"/>
    </xf>
    <xf numFmtId="0" fontId="75" fillId="0" borderId="0"/>
    <xf numFmtId="0" fontId="2" fillId="0" borderId="0">
      <alignment vertical="top"/>
    </xf>
    <xf numFmtId="0" fontId="2" fillId="0" borderId="0">
      <alignment vertical="top"/>
    </xf>
    <xf numFmtId="0" fontId="75" fillId="0" borderId="0"/>
    <xf numFmtId="0" fontId="18" fillId="0" borderId="0"/>
    <xf numFmtId="0" fontId="30" fillId="0" borderId="0" applyNumberFormat="0" applyFill="0" applyBorder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56" fillId="10" borderId="13" applyNumberFormat="0" applyFont="0" applyAlignment="0" applyProtection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2" fillId="10" borderId="13" applyNumberFormat="0" applyFont="0" applyAlignment="0" applyProtection="0"/>
    <xf numFmtId="0" fontId="56" fillId="10" borderId="13" applyNumberFormat="0" applyFont="0" applyAlignment="0" applyProtection="0"/>
    <xf numFmtId="0" fontId="2" fillId="10" borderId="13" applyNumberFormat="0" applyFont="0" applyAlignment="0" applyProtection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45" fillId="0" borderId="0" applyNumberFormat="0" applyFill="0" applyBorder="0" applyProtection="0"/>
    <xf numFmtId="0" fontId="37" fillId="0" borderId="0" applyNumberFormat="0" applyFill="0" applyBorder="0" applyProtection="0">
      <alignment horizontal="left"/>
    </xf>
    <xf numFmtId="178" fontId="35" fillId="0" borderId="0" applyNumberFormat="0" applyFill="0" applyBorder="0" applyProtection="0"/>
    <xf numFmtId="0" fontId="104" fillId="55" borderId="27" applyNumberFormat="0" applyAlignment="0" applyProtection="0"/>
    <xf numFmtId="0" fontId="15" fillId="8" borderId="14" applyNumberFormat="0" applyAlignment="0" applyProtection="0"/>
    <xf numFmtId="0" fontId="15" fillId="12" borderId="14" applyNumberFormat="0" applyAlignment="0" applyProtection="0"/>
    <xf numFmtId="0" fontId="15" fillId="8" borderId="14" applyNumberFormat="0" applyAlignment="0" applyProtection="0"/>
    <xf numFmtId="0" fontId="15" fillId="12" borderId="14" applyNumberFormat="0" applyAlignment="0" applyProtection="0"/>
    <xf numFmtId="9" fontId="75" fillId="0" borderId="0" applyFont="0" applyFill="0" applyBorder="0" applyAlignment="0" applyProtection="0"/>
    <xf numFmtId="180" fontId="23" fillId="0" borderId="0"/>
    <xf numFmtId="179" fontId="23" fillId="0" borderId="0"/>
    <xf numFmtId="190" fontId="23" fillId="0" borderId="0"/>
    <xf numFmtId="190" fontId="23" fillId="0" borderId="0"/>
    <xf numFmtId="195" fontId="23" fillId="0" borderId="0" applyFont="0" applyFill="0" applyBorder="0" applyAlignment="0" applyProtection="0"/>
    <xf numFmtId="182" fontId="23" fillId="0" borderId="2"/>
    <xf numFmtId="196" fontId="6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/>
    <xf numFmtId="44" fontId="22" fillId="0" borderId="0" applyFill="0" applyBorder="0" applyProtection="0"/>
    <xf numFmtId="0" fontId="31" fillId="0" borderId="0" applyNumberFormat="0" applyFill="0" applyBorder="0" applyProtection="0"/>
    <xf numFmtId="40" fontId="72" fillId="29" borderId="0">
      <alignment horizontal="left"/>
    </xf>
    <xf numFmtId="40" fontId="72" fillId="29" borderId="0">
      <alignment horizontal="left"/>
    </xf>
    <xf numFmtId="0" fontId="73" fillId="29" borderId="0">
      <alignment horizontal="left"/>
      <protection locked="0"/>
    </xf>
    <xf numFmtId="14" fontId="73" fillId="29" borderId="0">
      <alignment horizontal="left"/>
      <protection locked="0"/>
    </xf>
    <xf numFmtId="41" fontId="22" fillId="0" borderId="0" applyFill="0" applyBorder="0" applyProtection="0"/>
    <xf numFmtId="43" fontId="22" fillId="0" borderId="0" applyFill="0" applyBorder="0" applyProtection="0"/>
    <xf numFmtId="49" fontId="35" fillId="0" borderId="0" applyFill="0" applyBorder="0" applyProtection="0"/>
    <xf numFmtId="186" fontId="35" fillId="0" borderId="0" applyFill="0" applyBorder="0" applyProtection="0">
      <alignment horizontal="center"/>
    </xf>
    <xf numFmtId="186" fontId="46" fillId="0" borderId="1" applyFill="0" applyBorder="0" applyProtection="0">
      <alignment horizontal="center" wrapText="1"/>
    </xf>
    <xf numFmtId="186" fontId="46" fillId="0" borderId="0" applyFill="0" applyBorder="0" applyProtection="0">
      <alignment horizontal="right"/>
    </xf>
    <xf numFmtId="0" fontId="35" fillId="0" borderId="0" applyNumberFormat="0" applyFill="0" applyBorder="0" applyProtection="0">
      <alignment horizontal="right" wrapText="1"/>
    </xf>
    <xf numFmtId="0" fontId="35" fillId="0" borderId="1" applyFill="0" applyBorder="0" applyProtection="0">
      <alignment wrapText="1"/>
    </xf>
    <xf numFmtId="178" fontId="35" fillId="0" borderId="0" applyNumberFormat="0" applyFill="0" applyBorder="0" applyProtection="0">
      <alignment horizontal="left"/>
    </xf>
    <xf numFmtId="178" fontId="25" fillId="0" borderId="0" applyFill="0" applyBorder="0" applyProtection="0">
      <alignment horizontal="left"/>
    </xf>
    <xf numFmtId="0" fontId="47" fillId="0" borderId="0" applyFill="0" applyBorder="0" applyProtection="0"/>
    <xf numFmtId="178" fontId="25" fillId="0" borderId="0" applyNumberFormat="0" applyFill="0" applyBorder="0" applyProtection="0">
      <alignment horizontal="left" vertical="top"/>
    </xf>
    <xf numFmtId="0" fontId="25" fillId="0" borderId="0" applyNumberFormat="0" applyFill="0" applyBorder="0" applyProtection="0">
      <alignment wrapText="1"/>
    </xf>
    <xf numFmtId="0" fontId="32" fillId="0" borderId="0" applyNumberFormat="0" applyFill="0" applyBorder="0" applyProtection="0"/>
    <xf numFmtId="186" fontId="38" fillId="0" borderId="1" applyNumberFormat="0" applyFill="0" applyBorder="0" applyProtection="0">
      <alignment horizontal="left" wrapText="1"/>
    </xf>
    <xf numFmtId="186" fontId="38" fillId="0" borderId="1" applyNumberFormat="0" applyFill="0" applyBorder="0" applyProtection="0">
      <alignment horizontal="center" wrapText="1"/>
    </xf>
    <xf numFmtId="41" fontId="48" fillId="0" borderId="0" applyFill="0" applyBorder="0" applyProtection="0"/>
    <xf numFmtId="0" fontId="38" fillId="0" borderId="0" applyNumberFormat="0" applyFill="0" applyBorder="0" applyProtection="0">
      <alignment horizontal="center" wrapText="1"/>
    </xf>
    <xf numFmtId="0" fontId="42" fillId="0" borderId="0" applyNumberFormat="0" applyFill="0" applyBorder="0" applyProtection="0">
      <alignment horizontal="left"/>
    </xf>
    <xf numFmtId="0" fontId="41" fillId="0" borderId="0" applyNumberFormat="0" applyFill="0" applyBorder="0" applyProtection="0">
      <alignment horizontal="center"/>
    </xf>
    <xf numFmtId="189" fontId="43" fillId="0" borderId="0" applyFill="0" applyBorder="0" applyProtection="0">
      <alignment horizontal="center"/>
    </xf>
    <xf numFmtId="43" fontId="49" fillId="0" borderId="0" applyNumberFormat="0" applyFill="0" applyBorder="0" applyProtection="0"/>
    <xf numFmtId="0" fontId="38" fillId="0" borderId="1" applyNumberFormat="0" applyFill="0" applyBorder="0" applyProtection="0">
      <alignment horizontal="center"/>
    </xf>
    <xf numFmtId="1" fontId="25" fillId="0" borderId="1" applyFill="0" applyBorder="0" applyProtection="0"/>
    <xf numFmtId="188" fontId="43" fillId="0" borderId="0" applyFill="0" applyBorder="0" applyProtection="0">
      <alignment horizontal="center"/>
    </xf>
    <xf numFmtId="188" fontId="22" fillId="0" borderId="15" applyFill="0" applyBorder="0" applyProtection="0">
      <alignment horizontal="right"/>
    </xf>
    <xf numFmtId="187" fontId="22" fillId="0" borderId="0" applyFill="0" applyBorder="0" applyProtection="0">
      <alignment horizontal="center"/>
    </xf>
    <xf numFmtId="40" fontId="67" fillId="0" borderId="0">
      <alignment horizontal="right"/>
    </xf>
    <xf numFmtId="40" fontId="65" fillId="29" borderId="0">
      <alignment horizontal="left"/>
    </xf>
    <xf numFmtId="40" fontId="65" fillId="29" borderId="0">
      <alignment horizontal="left"/>
    </xf>
    <xf numFmtId="40" fontId="2" fillId="0" borderId="0"/>
    <xf numFmtId="40" fontId="67" fillId="0" borderId="5">
      <alignment horizontal="right"/>
    </xf>
    <xf numFmtId="40" fontId="67" fillId="0" borderId="0">
      <alignment horizontal="left"/>
    </xf>
    <xf numFmtId="40" fontId="2" fillId="0" borderId="0"/>
    <xf numFmtId="40" fontId="67" fillId="0" borderId="0">
      <alignment horizontal="left"/>
    </xf>
    <xf numFmtId="0" fontId="67" fillId="0" borderId="0">
      <alignment horizontal="right"/>
      <protection locked="0"/>
    </xf>
    <xf numFmtId="198" fontId="67" fillId="0" borderId="5">
      <alignment horizontal="right"/>
    </xf>
    <xf numFmtId="40" fontId="67" fillId="0" borderId="0">
      <alignment horizontal="right"/>
    </xf>
    <xf numFmtId="40" fontId="67" fillId="0" borderId="0">
      <alignment horizontal="right"/>
    </xf>
    <xf numFmtId="0" fontId="67" fillId="28" borderId="0">
      <alignment horizontal="left"/>
    </xf>
    <xf numFmtId="40" fontId="2" fillId="0" borderId="0"/>
    <xf numFmtId="0" fontId="67" fillId="28" borderId="0">
      <alignment horizontal="left"/>
    </xf>
    <xf numFmtId="0" fontId="67" fillId="0" borderId="0">
      <alignment horizontal="right"/>
      <protection locked="0"/>
    </xf>
    <xf numFmtId="198" fontId="67" fillId="0" borderId="0">
      <alignment horizontal="right"/>
    </xf>
    <xf numFmtId="40" fontId="67" fillId="0" borderId="0">
      <alignment horizontal="right"/>
    </xf>
    <xf numFmtId="0" fontId="5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1" fontId="34" fillId="0" borderId="0" applyFill="0" applyBorder="0" applyProtection="0">
      <alignment horizontal="center"/>
    </xf>
    <xf numFmtId="0" fontId="33" fillId="0" borderId="1" applyNumberFormat="0" applyFill="0" applyBorder="0" applyProtection="0">
      <alignment horizontal="center"/>
    </xf>
    <xf numFmtId="0" fontId="32" fillId="0" borderId="0" applyNumberFormat="0" applyFill="0" applyBorder="0" applyProtection="0"/>
    <xf numFmtId="0" fontId="106" fillId="0" borderId="28" applyNumberFormat="0" applyFill="0" applyAlignment="0" applyProtection="0"/>
    <xf numFmtId="0" fontId="26" fillId="0" borderId="16">
      <protection locked="0"/>
    </xf>
    <xf numFmtId="0" fontId="16" fillId="0" borderId="17" applyNumberFormat="0" applyFill="0" applyAlignment="0" applyProtection="0"/>
    <xf numFmtId="0" fontId="2" fillId="0" borderId="16"/>
    <xf numFmtId="0" fontId="16" fillId="0" borderId="17" applyNumberFormat="0" applyFill="0" applyAlignment="0" applyProtection="0"/>
    <xf numFmtId="0" fontId="2" fillId="0" borderId="16"/>
    <xf numFmtId="0" fontId="2" fillId="0" borderId="18" applyNumberFormat="0" applyFont="0" applyBorder="0" applyAlignment="0" applyProtection="0"/>
    <xf numFmtId="0" fontId="2" fillId="0" borderId="18" applyNumberFormat="0" applyFont="0" applyBorder="0" applyAlignment="0" applyProtection="0"/>
    <xf numFmtId="0" fontId="2" fillId="0" borderId="18" applyNumberFormat="0" applyFont="0" applyBorder="0" applyAlignment="0" applyProtection="0"/>
    <xf numFmtId="0" fontId="2" fillId="0" borderId="18" applyNumberFormat="0" applyFont="0" applyBorder="0" applyAlignment="0" applyProtection="0"/>
    <xf numFmtId="0" fontId="71" fillId="0" borderId="0"/>
    <xf numFmtId="40" fontId="22" fillId="0" borderId="10"/>
    <xf numFmtId="40" fontId="22" fillId="0" borderId="10"/>
    <xf numFmtId="0" fontId="22" fillId="0" borderId="0"/>
    <xf numFmtId="0" fontId="22" fillId="0" borderId="0"/>
    <xf numFmtId="40" fontId="22" fillId="0" borderId="0"/>
    <xf numFmtId="199" fontId="22" fillId="0" borderId="0"/>
    <xf numFmtId="40" fontId="22" fillId="0" borderId="0"/>
    <xf numFmtId="0" fontId="22" fillId="0" borderId="0"/>
    <xf numFmtId="0" fontId="22" fillId="0" borderId="0"/>
    <xf numFmtId="40" fontId="67" fillId="0" borderId="10">
      <alignment horizontal="right"/>
    </xf>
    <xf numFmtId="40" fontId="67" fillId="0" borderId="0">
      <alignment horizontal="left"/>
    </xf>
    <xf numFmtId="40" fontId="2" fillId="0" borderId="0"/>
    <xf numFmtId="40" fontId="67" fillId="0" borderId="0">
      <alignment horizontal="left"/>
    </xf>
    <xf numFmtId="0" fontId="67" fillId="0" borderId="0">
      <alignment horizontal="right"/>
      <protection locked="0"/>
    </xf>
    <xf numFmtId="198" fontId="67" fillId="0" borderId="10">
      <alignment horizontal="right"/>
    </xf>
    <xf numFmtId="40" fontId="67" fillId="0" borderId="0">
      <alignment horizontal="right"/>
    </xf>
    <xf numFmtId="0" fontId="10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43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0" fontId="103" fillId="0" borderId="0"/>
    <xf numFmtId="38" fontId="124" fillId="0" borderId="0" applyBorder="0">
      <alignment horizontal="right"/>
    </xf>
    <xf numFmtId="0" fontId="71" fillId="0" borderId="0" applyFill="0" applyBorder="0" applyProtection="0">
      <alignment horizontal="center"/>
      <protection locked="0"/>
    </xf>
    <xf numFmtId="9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/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9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43" fontId="84" fillId="0" borderId="0" applyFont="0" applyFill="0" applyBorder="0" applyAlignment="0" applyProtection="0"/>
    <xf numFmtId="0" fontId="74" fillId="0" borderId="0"/>
    <xf numFmtId="0" fontId="2" fillId="0" borderId="0"/>
    <xf numFmtId="9" fontId="84" fillId="0" borderId="0" applyFont="0" applyFill="0" applyBorder="0" applyAlignment="0" applyProtection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100" fillId="6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2" borderId="0" applyNumberFormat="0" applyBorder="0" applyAlignment="0" applyProtection="0"/>
    <xf numFmtId="0" fontId="94" fillId="0" borderId="0" applyNumberFormat="0" applyFill="0" applyBorder="0" applyAlignment="0" applyProtection="0"/>
    <xf numFmtId="0" fontId="2" fillId="0" borderId="0"/>
    <xf numFmtId="0" fontId="28" fillId="0" borderId="0"/>
    <xf numFmtId="0" fontId="86" fillId="0" borderId="0"/>
    <xf numFmtId="0" fontId="56" fillId="0" borderId="0"/>
    <xf numFmtId="0" fontId="56" fillId="0" borderId="0"/>
    <xf numFmtId="0" fontId="2" fillId="0" borderId="0"/>
    <xf numFmtId="0" fontId="56" fillId="0" borderId="0"/>
    <xf numFmtId="0" fontId="2" fillId="0" borderId="0"/>
    <xf numFmtId="0" fontId="14" fillId="0" borderId="0"/>
    <xf numFmtId="0" fontId="14" fillId="0" borderId="0"/>
    <xf numFmtId="0" fontId="102" fillId="0" borderId="0"/>
    <xf numFmtId="0" fontId="14" fillId="0" borderId="0"/>
    <xf numFmtId="0" fontId="14" fillId="0" borderId="0"/>
    <xf numFmtId="0" fontId="103" fillId="0" borderId="0"/>
    <xf numFmtId="0" fontId="28" fillId="0" borderId="0"/>
    <xf numFmtId="0" fontId="75" fillId="0" borderId="0"/>
    <xf numFmtId="0" fontId="75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9" fontId="2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75" fillId="30" borderId="0" applyNumberFormat="0" applyBorder="0" applyAlignment="0" applyProtection="0"/>
    <xf numFmtId="0" fontId="75" fillId="36" borderId="0" applyNumberFormat="0" applyBorder="0" applyAlignment="0" applyProtection="0"/>
    <xf numFmtId="0" fontId="75" fillId="31" borderId="0" applyNumberFormat="0" applyBorder="0" applyAlignment="0" applyProtection="0"/>
    <xf numFmtId="0" fontId="75" fillId="37" borderId="0" applyNumberFormat="0" applyBorder="0" applyAlignment="0" applyProtection="0"/>
    <xf numFmtId="0" fontId="75" fillId="32" borderId="0" applyNumberFormat="0" applyBorder="0" applyAlignment="0" applyProtection="0"/>
    <xf numFmtId="0" fontId="75" fillId="38" borderId="0" applyNumberFormat="0" applyBorder="0" applyAlignment="0" applyProtection="0"/>
    <xf numFmtId="0" fontId="75" fillId="33" borderId="0" applyNumberFormat="0" applyBorder="0" applyAlignment="0" applyProtection="0"/>
    <xf numFmtId="0" fontId="75" fillId="39" borderId="0" applyNumberFormat="0" applyBorder="0" applyAlignment="0" applyProtection="0"/>
    <xf numFmtId="0" fontId="75" fillId="34" borderId="0" applyNumberFormat="0" applyBorder="0" applyAlignment="0" applyProtection="0"/>
    <xf numFmtId="0" fontId="75" fillId="40" borderId="0" applyNumberFormat="0" applyBorder="0" applyAlignment="0" applyProtection="0"/>
    <xf numFmtId="0" fontId="75" fillId="35" borderId="0" applyNumberFormat="0" applyBorder="0" applyAlignment="0" applyProtection="0"/>
    <xf numFmtId="0" fontId="75" fillId="41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3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4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5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6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7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8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0" fontId="75" fillId="41" borderId="0" applyNumberFormat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44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0" fontId="75" fillId="63" borderId="26" applyNumberFormat="0" applyFont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96" fillId="75" borderId="13"/>
    <xf numFmtId="0" fontId="84" fillId="74" borderId="13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43" fontId="75" fillId="0" borderId="0" applyFont="0" applyFill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43" fontId="75" fillId="0" borderId="0" applyFont="0" applyFill="0" applyBorder="0" applyAlignment="0" applyProtection="0"/>
    <xf numFmtId="0" fontId="129" fillId="75" borderId="13"/>
    <xf numFmtId="0" fontId="130" fillId="76" borderId="13"/>
  </cellStyleXfs>
  <cellXfs count="291">
    <xf numFmtId="0" fontId="0" fillId="0" borderId="0" xfId="0"/>
    <xf numFmtId="0" fontId="86" fillId="0" borderId="0" xfId="1523" applyFont="1"/>
    <xf numFmtId="0" fontId="108" fillId="0" borderId="0" xfId="1523" applyFont="1" applyAlignment="1">
      <alignment horizontal="center"/>
    </xf>
    <xf numFmtId="164" fontId="86" fillId="0" borderId="0" xfId="1523" applyNumberFormat="1" applyFont="1"/>
    <xf numFmtId="167" fontId="86" fillId="0" borderId="0" xfId="1523" applyNumberFormat="1" applyFont="1"/>
    <xf numFmtId="0" fontId="109" fillId="0" borderId="0" xfId="0" applyFont="1"/>
    <xf numFmtId="0" fontId="110" fillId="0" borderId="0" xfId="0" applyFont="1" applyAlignment="1">
      <alignment horizontal="center"/>
    </xf>
    <xf numFmtId="0" fontId="111" fillId="0" borderId="0" xfId="0" applyFont="1" applyAlignment="1">
      <alignment horizontal="right"/>
    </xf>
    <xf numFmtId="166" fontId="109" fillId="0" borderId="0" xfId="0" applyNumberFormat="1" applyFont="1"/>
    <xf numFmtId="43" fontId="75" fillId="0" borderId="0" xfId="276" applyFont="1"/>
    <xf numFmtId="1" fontId="86" fillId="0" borderId="0" xfId="1378" applyNumberFormat="1" applyFont="1" applyAlignment="1">
      <alignment horizontal="center"/>
    </xf>
    <xf numFmtId="164" fontId="86" fillId="0" borderId="0" xfId="1378" applyNumberFormat="1" applyFont="1"/>
    <xf numFmtId="1" fontId="86" fillId="64" borderId="0" xfId="1378" applyNumberFormat="1" applyFont="1" applyFill="1" applyAlignment="1">
      <alignment horizontal="center"/>
    </xf>
    <xf numFmtId="164" fontId="86" fillId="65" borderId="0" xfId="1378" applyNumberFormat="1" applyFont="1" applyFill="1"/>
    <xf numFmtId="0" fontId="108" fillId="0" borderId="0" xfId="1523" applyFont="1"/>
    <xf numFmtId="0" fontId="108" fillId="0" borderId="0" xfId="1523" quotePrefix="1" applyFont="1" applyAlignment="1">
      <alignment horizontal="center"/>
    </xf>
    <xf numFmtId="0" fontId="108" fillId="0" borderId="0" xfId="0" applyFont="1" applyAlignment="1">
      <alignment horizontal="center"/>
    </xf>
    <xf numFmtId="0" fontId="108" fillId="0" borderId="0" xfId="0" quotePrefix="1" applyFont="1" applyAlignment="1">
      <alignment horizontal="center"/>
    </xf>
    <xf numFmtId="164" fontId="103" fillId="0" borderId="0" xfId="0" applyNumberFormat="1" applyFont="1"/>
    <xf numFmtId="0" fontId="103" fillId="0" borderId="0" xfId="0" applyFont="1"/>
    <xf numFmtId="166" fontId="103" fillId="0" borderId="0" xfId="1689" applyNumberFormat="1" applyFont="1" applyFill="1" applyBorder="1"/>
    <xf numFmtId="0" fontId="108" fillId="0" borderId="0" xfId="0" applyFont="1"/>
    <xf numFmtId="169" fontId="86" fillId="64" borderId="0" xfId="1523" applyNumberFormat="1" applyFont="1" applyFill="1" applyAlignment="1">
      <alignment horizontal="center"/>
    </xf>
    <xf numFmtId="164" fontId="86" fillId="64" borderId="0" xfId="1523" applyNumberFormat="1" applyFont="1" applyFill="1"/>
    <xf numFmtId="169" fontId="86" fillId="0" borderId="0" xfId="1523" applyNumberFormat="1" applyFont="1" applyAlignment="1">
      <alignment horizontal="center"/>
    </xf>
    <xf numFmtId="37" fontId="86" fillId="0" borderId="0" xfId="335" applyNumberFormat="1" applyFont="1" applyFill="1" applyBorder="1"/>
    <xf numFmtId="37" fontId="86" fillId="64" borderId="0" xfId="335" applyNumberFormat="1" applyFont="1" applyFill="1" applyBorder="1"/>
    <xf numFmtId="0" fontId="99" fillId="0" borderId="0" xfId="0" quotePrefix="1" applyFont="1" applyAlignment="1">
      <alignment horizontal="center"/>
    </xf>
    <xf numFmtId="5" fontId="103" fillId="0" borderId="0" xfId="0" applyNumberFormat="1" applyFont="1"/>
    <xf numFmtId="0" fontId="107" fillId="0" borderId="0" xfId="0" applyFont="1"/>
    <xf numFmtId="0" fontId="110" fillId="0" borderId="0" xfId="0" applyFont="1" applyAlignment="1">
      <alignment horizontal="right"/>
    </xf>
    <xf numFmtId="167" fontId="107" fillId="0" borderId="0" xfId="276" applyNumberFormat="1" applyFont="1" applyBorder="1"/>
    <xf numFmtId="5" fontId="107" fillId="0" borderId="0" xfId="0" applyNumberFormat="1" applyFont="1"/>
    <xf numFmtId="0" fontId="0" fillId="0" borderId="0" xfId="0" applyAlignment="1">
      <alignment horizontal="right"/>
    </xf>
    <xf numFmtId="0" fontId="108" fillId="0" borderId="5" xfId="1523" applyFont="1" applyBorder="1" applyAlignment="1">
      <alignment horizontal="center" wrapText="1"/>
    </xf>
    <xf numFmtId="0" fontId="108" fillId="0" borderId="1" xfId="1523" applyFont="1" applyBorder="1" applyAlignment="1">
      <alignment horizontal="center" wrapText="1"/>
    </xf>
    <xf numFmtId="0" fontId="108" fillId="0" borderId="1" xfId="1523" applyFont="1" applyBorder="1" applyAlignment="1">
      <alignment horizontal="center"/>
    </xf>
    <xf numFmtId="167" fontId="2" fillId="65" borderId="0" xfId="276" applyNumberFormat="1" applyFont="1" applyFill="1" applyBorder="1"/>
    <xf numFmtId="167" fontId="2" fillId="0" borderId="0" xfId="276" applyNumberFormat="1" applyFont="1" applyFill="1" applyBorder="1"/>
    <xf numFmtId="176" fontId="2" fillId="65" borderId="0" xfId="276" applyNumberFormat="1" applyFont="1" applyFill="1" applyBorder="1"/>
    <xf numFmtId="167" fontId="75" fillId="0" borderId="0" xfId="276" applyNumberFormat="1" applyFont="1" applyBorder="1"/>
    <xf numFmtId="169" fontId="0" fillId="0" borderId="0" xfId="0" applyNumberFormat="1"/>
    <xf numFmtId="176" fontId="86" fillId="0" borderId="2" xfId="567" applyNumberFormat="1" applyFont="1" applyFill="1" applyBorder="1"/>
    <xf numFmtId="164" fontId="86" fillId="64" borderId="0" xfId="1378" applyNumberFormat="1" applyFont="1" applyFill="1"/>
    <xf numFmtId="0" fontId="108" fillId="0" borderId="1" xfId="0" applyFont="1" applyBorder="1" applyAlignment="1">
      <alignment horizontal="center" wrapText="1"/>
    </xf>
    <xf numFmtId="0" fontId="108" fillId="0" borderId="1" xfId="0" applyFont="1" applyBorder="1" applyAlignment="1">
      <alignment horizontal="center"/>
    </xf>
    <xf numFmtId="0" fontId="3" fillId="0" borderId="0" xfId="1378" applyFont="1"/>
    <xf numFmtId="0" fontId="3" fillId="0" borderId="0" xfId="1378" applyFont="1" applyAlignment="1">
      <alignment horizontal="center"/>
    </xf>
    <xf numFmtId="0" fontId="4" fillId="0" borderId="0" xfId="1378" applyFont="1" applyAlignment="1">
      <alignment horizontal="center" wrapText="1"/>
    </xf>
    <xf numFmtId="0" fontId="112" fillId="0" borderId="29" xfId="1378" applyFont="1" applyBorder="1" applyAlignment="1">
      <alignment horizontal="center" wrapText="1"/>
    </xf>
    <xf numFmtId="168" fontId="112" fillId="0" borderId="29" xfId="1378" applyNumberFormat="1" applyFont="1" applyBorder="1" applyAlignment="1">
      <alignment horizontal="center" wrapText="1"/>
    </xf>
    <xf numFmtId="1" fontId="113" fillId="64" borderId="0" xfId="1378" applyNumberFormat="1" applyFont="1" applyFill="1" applyAlignment="1">
      <alignment horizontal="center"/>
    </xf>
    <xf numFmtId="164" fontId="113" fillId="64" borderId="0" xfId="1378" applyNumberFormat="1" applyFont="1" applyFill="1"/>
    <xf numFmtId="1" fontId="113" fillId="0" borderId="0" xfId="1378" applyNumberFormat="1" applyFont="1" applyAlignment="1">
      <alignment horizontal="center"/>
    </xf>
    <xf numFmtId="164" fontId="113" fillId="0" borderId="0" xfId="1378" applyNumberFormat="1" applyFont="1"/>
    <xf numFmtId="164" fontId="113" fillId="65" borderId="0" xfId="1378" applyNumberFormat="1" applyFont="1" applyFill="1"/>
    <xf numFmtId="164" fontId="114" fillId="0" borderId="0" xfId="1378" applyNumberFormat="1" applyFont="1"/>
    <xf numFmtId="165" fontId="114" fillId="0" borderId="0" xfId="1378" applyNumberFormat="1" applyFont="1"/>
    <xf numFmtId="0" fontId="115" fillId="0" borderId="0" xfId="1378" applyFont="1"/>
    <xf numFmtId="42" fontId="113" fillId="0" borderId="2" xfId="1378" applyNumberFormat="1" applyFont="1" applyBorder="1" applyAlignment="1">
      <alignment horizontal="center"/>
    </xf>
    <xf numFmtId="167" fontId="103" fillId="0" borderId="0" xfId="276" applyNumberFormat="1" applyFont="1"/>
    <xf numFmtId="176" fontId="103" fillId="0" borderId="0" xfId="0" applyNumberFormat="1" applyFont="1"/>
    <xf numFmtId="0" fontId="103" fillId="0" borderId="0" xfId="0" applyFont="1" applyAlignment="1">
      <alignment horizontal="center"/>
    </xf>
    <xf numFmtId="0" fontId="103" fillId="0" borderId="0" xfId="553" applyNumberFormat="1" applyFont="1" applyBorder="1" applyAlignment="1">
      <alignment horizontal="center"/>
    </xf>
    <xf numFmtId="0" fontId="116" fillId="0" borderId="0" xfId="0" applyFont="1" applyAlignment="1">
      <alignment horizontal="center"/>
    </xf>
    <xf numFmtId="0" fontId="116" fillId="0" borderId="1" xfId="0" applyFont="1" applyBorder="1" applyAlignment="1">
      <alignment horizontal="center"/>
    </xf>
    <xf numFmtId="0" fontId="116" fillId="0" borderId="1" xfId="553" applyNumberFormat="1" applyFont="1" applyBorder="1" applyAlignment="1">
      <alignment horizontal="center"/>
    </xf>
    <xf numFmtId="176" fontId="86" fillId="64" borderId="0" xfId="553" applyNumberFormat="1" applyFont="1" applyFill="1" applyBorder="1"/>
    <xf numFmtId="176" fontId="86" fillId="0" borderId="2" xfId="553" applyNumberFormat="1" applyFont="1" applyFill="1" applyBorder="1"/>
    <xf numFmtId="167" fontId="113" fillId="0" borderId="0" xfId="276" applyNumberFormat="1" applyFont="1" applyFill="1" applyBorder="1"/>
    <xf numFmtId="176" fontId="0" fillId="0" borderId="0" xfId="0" applyNumberFormat="1"/>
    <xf numFmtId="176" fontId="86" fillId="0" borderId="0" xfId="553" applyNumberFormat="1" applyFont="1" applyFill="1" applyBorder="1"/>
    <xf numFmtId="0" fontId="112" fillId="0" borderId="0" xfId="1378" applyFont="1" applyAlignment="1">
      <alignment horizontal="center" wrapText="1"/>
    </xf>
    <xf numFmtId="168" fontId="112" fillId="0" borderId="0" xfId="1378" applyNumberFormat="1" applyFont="1" applyAlignment="1">
      <alignment horizontal="center" wrapText="1"/>
    </xf>
    <xf numFmtId="0" fontId="83" fillId="0" borderId="0" xfId="1490"/>
    <xf numFmtId="0" fontId="103" fillId="0" borderId="0" xfId="1490" applyFont="1"/>
    <xf numFmtId="176" fontId="103" fillId="0" borderId="0" xfId="563" applyNumberFormat="1" applyFont="1"/>
    <xf numFmtId="10" fontId="103" fillId="0" borderId="0" xfId="1785" applyNumberFormat="1" applyFont="1"/>
    <xf numFmtId="0" fontId="2" fillId="0" borderId="0" xfId="1497" applyFont="1" applyAlignment="1">
      <alignment vertical="center"/>
    </xf>
    <xf numFmtId="0" fontId="103" fillId="0" borderId="0" xfId="1490" applyFont="1" applyAlignment="1">
      <alignment horizontal="center"/>
    </xf>
    <xf numFmtId="0" fontId="103" fillId="0" borderId="1" xfId="1490" applyFont="1" applyBorder="1" applyAlignment="1">
      <alignment horizontal="center"/>
    </xf>
    <xf numFmtId="10" fontId="103" fillId="0" borderId="1" xfId="1490" quotePrefix="1" applyNumberFormat="1" applyFont="1" applyBorder="1" applyAlignment="1">
      <alignment horizontal="center"/>
    </xf>
    <xf numFmtId="0" fontId="116" fillId="0" borderId="0" xfId="1523" applyFont="1" applyAlignment="1">
      <alignment horizontal="left"/>
    </xf>
    <xf numFmtId="0" fontId="116" fillId="0" borderId="0" xfId="1523" applyFont="1"/>
    <xf numFmtId="0" fontId="116" fillId="0" borderId="0" xfId="1523" applyFont="1" applyAlignment="1">
      <alignment horizontal="right"/>
    </xf>
    <xf numFmtId="171" fontId="116" fillId="0" borderId="0" xfId="1523" applyNumberFormat="1" applyFont="1" applyAlignment="1">
      <alignment horizontal="right"/>
    </xf>
    <xf numFmtId="197" fontId="103" fillId="0" borderId="0" xfId="1523" applyNumberFormat="1"/>
    <xf numFmtId="171" fontId="103" fillId="0" borderId="0" xfId="1801" applyNumberFormat="1" applyFont="1" applyFill="1"/>
    <xf numFmtId="1" fontId="113" fillId="67" borderId="0" xfId="1378" applyNumberFormat="1" applyFont="1" applyFill="1" applyAlignment="1">
      <alignment horizontal="center"/>
    </xf>
    <xf numFmtId="164" fontId="113" fillId="68" borderId="0" xfId="1378" applyNumberFormat="1" applyFont="1" applyFill="1"/>
    <xf numFmtId="0" fontId="103" fillId="0" borderId="0" xfId="1523" applyAlignment="1">
      <alignment horizontal="left"/>
    </xf>
    <xf numFmtId="0" fontId="103" fillId="0" borderId="0" xfId="1523"/>
    <xf numFmtId="170" fontId="103" fillId="0" borderId="0" xfId="1689" applyNumberFormat="1" applyFont="1" applyFill="1" applyBorder="1" applyAlignment="1">
      <alignment horizontal="right"/>
    </xf>
    <xf numFmtId="170" fontId="109" fillId="0" borderId="0" xfId="0" applyNumberFormat="1" applyFont="1"/>
    <xf numFmtId="175" fontId="103" fillId="0" borderId="0" xfId="1689" applyNumberFormat="1" applyFont="1" applyFill="1" applyBorder="1"/>
    <xf numFmtId="167" fontId="109" fillId="0" borderId="0" xfId="276" applyNumberFormat="1" applyFont="1" applyFill="1" applyBorder="1"/>
    <xf numFmtId="170" fontId="109" fillId="0" borderId="0" xfId="0" applyNumberFormat="1" applyFont="1" applyAlignment="1">
      <alignment horizontal="right"/>
    </xf>
    <xf numFmtId="173" fontId="109" fillId="0" borderId="10" xfId="0" applyNumberFormat="1" applyFont="1" applyBorder="1"/>
    <xf numFmtId="49" fontId="103" fillId="0" borderId="0" xfId="1523" applyNumberFormat="1"/>
    <xf numFmtId="172" fontId="109" fillId="0" borderId="0" xfId="0" applyNumberFormat="1" applyFont="1"/>
    <xf numFmtId="172" fontId="103" fillId="0" borderId="2" xfId="1689" applyNumberFormat="1" applyFont="1" applyFill="1" applyBorder="1"/>
    <xf numFmtId="167" fontId="103" fillId="0" borderId="0" xfId="276" applyNumberFormat="1" applyFont="1" applyFill="1" applyBorder="1"/>
    <xf numFmtId="43" fontId="109" fillId="0" borderId="10" xfId="276" applyFont="1" applyFill="1" applyBorder="1"/>
    <xf numFmtId="175" fontId="109" fillId="0" borderId="10" xfId="1689" applyNumberFormat="1" applyFont="1" applyFill="1" applyBorder="1"/>
    <xf numFmtId="167" fontId="109" fillId="0" borderId="1" xfId="276" applyNumberFormat="1" applyFont="1" applyFill="1" applyBorder="1"/>
    <xf numFmtId="0" fontId="117" fillId="0" borderId="0" xfId="0" applyFont="1"/>
    <xf numFmtId="0" fontId="118" fillId="0" borderId="0" xfId="0" applyFont="1"/>
    <xf numFmtId="167" fontId="109" fillId="0" borderId="0" xfId="276" applyNumberFormat="1" applyFont="1"/>
    <xf numFmtId="167" fontId="109" fillId="0" borderId="0" xfId="0" applyNumberFormat="1" applyFont="1"/>
    <xf numFmtId="167" fontId="0" fillId="0" borderId="0" xfId="0" applyNumberFormat="1"/>
    <xf numFmtId="0" fontId="119" fillId="0" borderId="0" xfId="0" quotePrefix="1" applyFont="1"/>
    <xf numFmtId="0" fontId="103" fillId="69" borderId="0" xfId="0" applyFont="1" applyFill="1"/>
    <xf numFmtId="0" fontId="120" fillId="0" borderId="0" xfId="1523" applyFont="1" applyAlignment="1">
      <alignment horizontal="center" wrapText="1"/>
    </xf>
    <xf numFmtId="42" fontId="0" fillId="0" borderId="0" xfId="0" applyNumberFormat="1"/>
    <xf numFmtId="42" fontId="113" fillId="0" borderId="0" xfId="1378" applyNumberFormat="1" applyFont="1" applyAlignment="1">
      <alignment horizontal="center"/>
    </xf>
    <xf numFmtId="42" fontId="113" fillId="64" borderId="0" xfId="276" applyNumberFormat="1" applyFont="1" applyFill="1" applyBorder="1" applyAlignment="1">
      <alignment horizontal="right"/>
    </xf>
    <xf numFmtId="42" fontId="113" fillId="64" borderId="0" xfId="276" applyNumberFormat="1" applyFont="1" applyFill="1" applyBorder="1"/>
    <xf numFmtId="176" fontId="113" fillId="64" borderId="0" xfId="553" applyNumberFormat="1" applyFont="1" applyFill="1" applyBorder="1" applyAlignment="1">
      <alignment horizontal="right"/>
    </xf>
    <xf numFmtId="176" fontId="103" fillId="0" borderId="2" xfId="0" applyNumberFormat="1" applyFont="1" applyBorder="1"/>
    <xf numFmtId="167" fontId="109" fillId="0" borderId="0" xfId="276" applyNumberFormat="1" applyFont="1" applyBorder="1"/>
    <xf numFmtId="167" fontId="109" fillId="0" borderId="10" xfId="276" applyNumberFormat="1" applyFont="1" applyFill="1" applyBorder="1"/>
    <xf numFmtId="39" fontId="109" fillId="0" borderId="0" xfId="0" applyNumberFormat="1" applyFont="1"/>
    <xf numFmtId="0" fontId="103" fillId="0" borderId="0" xfId="0" applyFont="1" applyAlignment="1">
      <alignment horizontal="left"/>
    </xf>
    <xf numFmtId="176" fontId="103" fillId="0" borderId="0" xfId="553" applyNumberFormat="1" applyFont="1" applyFill="1"/>
    <xf numFmtId="0" fontId="116" fillId="0" borderId="0" xfId="0" applyFont="1"/>
    <xf numFmtId="167" fontId="103" fillId="0" borderId="0" xfId="276" applyNumberFormat="1" applyFont="1" applyFill="1"/>
    <xf numFmtId="167" fontId="103" fillId="0" borderId="0" xfId="276" applyNumberFormat="1" applyFont="1" applyBorder="1"/>
    <xf numFmtId="167" fontId="103" fillId="0" borderId="0" xfId="0" applyNumberFormat="1" applyFont="1"/>
    <xf numFmtId="167" fontId="75" fillId="0" borderId="0" xfId="276" applyNumberFormat="1" applyFont="1"/>
    <xf numFmtId="0" fontId="4" fillId="0" borderId="1" xfId="1378" applyFont="1" applyBorder="1" applyAlignment="1">
      <alignment horizontal="center" wrapText="1"/>
    </xf>
    <xf numFmtId="42" fontId="103" fillId="0" borderId="0" xfId="0" applyNumberFormat="1" applyFont="1"/>
    <xf numFmtId="0" fontId="116" fillId="0" borderId="0" xfId="0" applyFont="1" applyAlignment="1">
      <alignment horizontal="right"/>
    </xf>
    <xf numFmtId="3" fontId="103" fillId="0" borderId="0" xfId="0" applyNumberFormat="1" applyFont="1"/>
    <xf numFmtId="37" fontId="86" fillId="0" borderId="1" xfId="335" applyNumberFormat="1" applyFont="1" applyFill="1" applyBorder="1"/>
    <xf numFmtId="176" fontId="86" fillId="0" borderId="0" xfId="567" applyNumberFormat="1" applyFont="1" applyFill="1" applyBorder="1"/>
    <xf numFmtId="167" fontId="86" fillId="0" borderId="0" xfId="276" applyNumberFormat="1" applyFont="1" applyFill="1" applyBorder="1"/>
    <xf numFmtId="167" fontId="86" fillId="65" borderId="0" xfId="276" applyNumberFormat="1" applyFont="1" applyFill="1" applyBorder="1"/>
    <xf numFmtId="166" fontId="86" fillId="0" borderId="0" xfId="1689" applyNumberFormat="1" applyFont="1" applyFill="1" applyBorder="1"/>
    <xf numFmtId="166" fontId="86" fillId="65" borderId="0" xfId="1689" applyNumberFormat="1" applyFont="1" applyFill="1" applyBorder="1"/>
    <xf numFmtId="166" fontId="103" fillId="0" borderId="2" xfId="1689" applyNumberFormat="1" applyFont="1" applyFill="1" applyBorder="1"/>
    <xf numFmtId="166" fontId="86" fillId="64" borderId="0" xfId="1689" applyNumberFormat="1" applyFont="1" applyFill="1" applyBorder="1"/>
    <xf numFmtId="0" fontId="116" fillId="0" borderId="1" xfId="0" applyFont="1" applyBorder="1"/>
    <xf numFmtId="167" fontId="103" fillId="0" borderId="1" xfId="276" applyNumberFormat="1" applyFont="1" applyBorder="1"/>
    <xf numFmtId="176" fontId="103" fillId="0" borderId="2" xfId="553" applyNumberFormat="1" applyFont="1" applyFill="1" applyBorder="1"/>
    <xf numFmtId="166" fontId="81" fillId="0" borderId="0" xfId="1689" applyNumberFormat="1" applyFont="1" applyFill="1" applyBorder="1"/>
    <xf numFmtId="0" fontId="117" fillId="0" borderId="0" xfId="0" applyFont="1" applyAlignment="1">
      <alignment horizontal="center"/>
    </xf>
    <xf numFmtId="42" fontId="103" fillId="0" borderId="0" xfId="276" applyNumberFormat="1" applyFont="1"/>
    <xf numFmtId="41" fontId="113" fillId="64" borderId="0" xfId="276" applyNumberFormat="1" applyFont="1" applyFill="1" applyBorder="1" applyAlignment="1">
      <alignment horizontal="right"/>
    </xf>
    <xf numFmtId="41" fontId="113" fillId="0" borderId="0" xfId="276" applyNumberFormat="1" applyFont="1" applyFill="1" applyBorder="1" applyAlignment="1">
      <alignment horizontal="right"/>
    </xf>
    <xf numFmtId="167" fontId="103" fillId="0" borderId="0" xfId="378" applyNumberFormat="1" applyFont="1" applyBorder="1"/>
    <xf numFmtId="167" fontId="103" fillId="66" borderId="0" xfId="276" applyNumberFormat="1" applyFont="1" applyFill="1"/>
    <xf numFmtId="176" fontId="103" fillId="0" borderId="0" xfId="553" applyNumberFormat="1" applyFont="1" applyFill="1" applyBorder="1"/>
    <xf numFmtId="0" fontId="109" fillId="0" borderId="1" xfId="0" applyFont="1" applyBorder="1"/>
    <xf numFmtId="0" fontId="0" fillId="0" borderId="0" xfId="0" applyAlignment="1">
      <alignment shrinkToFit="1"/>
    </xf>
    <xf numFmtId="41" fontId="103" fillId="0" borderId="0" xfId="276" applyNumberFormat="1" applyFont="1" applyFill="1" applyBorder="1"/>
    <xf numFmtId="41" fontId="103" fillId="0" borderId="0" xfId="0" applyNumberFormat="1" applyFont="1"/>
    <xf numFmtId="41" fontId="86" fillId="64" borderId="0" xfId="553" applyNumberFormat="1" applyFont="1" applyFill="1" applyBorder="1"/>
    <xf numFmtId="0" fontId="118" fillId="0" borderId="0" xfId="0" applyFont="1" applyAlignment="1">
      <alignment horizontal="center"/>
    </xf>
    <xf numFmtId="0" fontId="103" fillId="66" borderId="0" xfId="1523" applyFill="1"/>
    <xf numFmtId="0" fontId="118" fillId="0" borderId="0" xfId="0" applyFont="1" applyAlignment="1">
      <alignment horizontal="left"/>
    </xf>
    <xf numFmtId="0" fontId="121" fillId="0" borderId="0" xfId="0" applyFont="1"/>
    <xf numFmtId="0" fontId="115" fillId="0" borderId="0" xfId="1378" applyFont="1" applyAlignment="1">
      <alignment horizontal="center"/>
    </xf>
    <xf numFmtId="176" fontId="2" fillId="0" borderId="0" xfId="276" applyNumberFormat="1" applyFont="1" applyFill="1" applyBorder="1"/>
    <xf numFmtId="169" fontId="86" fillId="70" borderId="0" xfId="1523" applyNumberFormat="1" applyFont="1" applyFill="1" applyAlignment="1">
      <alignment horizontal="center"/>
    </xf>
    <xf numFmtId="164" fontId="86" fillId="70" borderId="0" xfId="1523" applyNumberFormat="1" applyFont="1" applyFill="1"/>
    <xf numFmtId="167" fontId="2" fillId="70" borderId="0" xfId="276" applyNumberFormat="1" applyFont="1" applyFill="1" applyBorder="1"/>
    <xf numFmtId="176" fontId="106" fillId="0" borderId="0" xfId="0" applyNumberFormat="1" applyFont="1"/>
    <xf numFmtId="0" fontId="4" fillId="0" borderId="5" xfId="1378" applyFont="1" applyBorder="1" applyAlignment="1">
      <alignment horizontal="center" wrapText="1"/>
    </xf>
    <xf numFmtId="1" fontId="0" fillId="0" borderId="0" xfId="0" applyNumberFormat="1"/>
    <xf numFmtId="10" fontId="2" fillId="0" borderId="1" xfId="0" quotePrefix="1" applyNumberFormat="1" applyFont="1" applyBorder="1" applyAlignment="1">
      <alignment horizontal="center"/>
    </xf>
    <xf numFmtId="0" fontId="2" fillId="0" borderId="0" xfId="0" applyFont="1"/>
    <xf numFmtId="42" fontId="103" fillId="0" borderId="0" xfId="562" applyNumberFormat="1" applyFont="1" applyFill="1" applyAlignment="1"/>
    <xf numFmtId="0" fontId="103" fillId="0" borderId="0" xfId="0" applyFont="1" applyAlignment="1">
      <alignment vertical="center"/>
    </xf>
    <xf numFmtId="0" fontId="2" fillId="0" borderId="0" xfId="1497" applyFont="1" applyAlignment="1">
      <alignment vertical="top"/>
    </xf>
    <xf numFmtId="0" fontId="2" fillId="0" borderId="0" xfId="1378" applyAlignment="1">
      <alignment vertical="center"/>
    </xf>
    <xf numFmtId="0" fontId="86" fillId="0" borderId="0" xfId="1497" applyFont="1" applyAlignment="1">
      <alignment vertical="top"/>
    </xf>
    <xf numFmtId="41" fontId="2" fillId="0" borderId="10" xfId="1497" applyNumberFormat="1" applyFont="1" applyBorder="1"/>
    <xf numFmtId="0" fontId="2" fillId="0" borderId="0" xfId="1497" applyFont="1"/>
    <xf numFmtId="41" fontId="86" fillId="0" borderId="0" xfId="1497" applyNumberFormat="1" applyFont="1" applyAlignment="1">
      <alignment vertical="top"/>
    </xf>
    <xf numFmtId="41" fontId="3" fillId="0" borderId="0" xfId="1378" applyNumberFormat="1" applyFont="1" applyAlignment="1">
      <alignment horizontal="center"/>
    </xf>
    <xf numFmtId="41" fontId="3" fillId="0" borderId="0" xfId="1378" applyNumberFormat="1" applyFont="1"/>
    <xf numFmtId="41" fontId="2" fillId="65" borderId="0" xfId="276" applyNumberFormat="1" applyFont="1" applyFill="1" applyBorder="1"/>
    <xf numFmtId="41" fontId="2" fillId="0" borderId="0" xfId="276" applyNumberFormat="1" applyFont="1" applyFill="1" applyBorder="1"/>
    <xf numFmtId="1" fontId="86" fillId="71" borderId="0" xfId="1378" applyNumberFormat="1" applyFont="1" applyFill="1" applyAlignment="1">
      <alignment horizontal="center"/>
    </xf>
    <xf numFmtId="164" fontId="86" fillId="71" borderId="0" xfId="1378" applyNumberFormat="1" applyFont="1" applyFill="1"/>
    <xf numFmtId="176" fontId="86" fillId="71" borderId="0" xfId="553" applyNumberFormat="1" applyFont="1" applyFill="1" applyBorder="1"/>
    <xf numFmtId="166" fontId="86" fillId="71" borderId="0" xfId="1689" applyNumberFormat="1" applyFont="1" applyFill="1" applyBorder="1"/>
    <xf numFmtId="176" fontId="86" fillId="73" borderId="2" xfId="567" applyNumberFormat="1" applyFont="1" applyFill="1" applyBorder="1"/>
    <xf numFmtId="167" fontId="0" fillId="73" borderId="0" xfId="0" applyNumberFormat="1" applyFill="1"/>
    <xf numFmtId="0" fontId="99" fillId="0" borderId="0" xfId="0" applyFont="1"/>
    <xf numFmtId="9" fontId="103" fillId="0" borderId="0" xfId="1490" quotePrefix="1" applyNumberFormat="1" applyFont="1" applyAlignment="1">
      <alignment horizontal="center"/>
    </xf>
    <xf numFmtId="174" fontId="103" fillId="0" borderId="0" xfId="1689" quotePrefix="1" applyNumberFormat="1" applyFont="1" applyFill="1" applyAlignment="1">
      <alignment horizontal="center"/>
    </xf>
    <xf numFmtId="41" fontId="2" fillId="0" borderId="1" xfId="1497" applyNumberFormat="1" applyFont="1" applyBorder="1" applyAlignment="1">
      <alignment vertical="center"/>
    </xf>
    <xf numFmtId="41" fontId="2" fillId="0" borderId="0" xfId="1497" applyNumberFormat="1" applyFont="1" applyAlignment="1">
      <alignment vertical="center"/>
    </xf>
    <xf numFmtId="176" fontId="109" fillId="0" borderId="0" xfId="0" applyNumberFormat="1" applyFont="1"/>
    <xf numFmtId="167" fontId="127" fillId="0" borderId="0" xfId="1496" applyNumberFormat="1" applyFont="1"/>
    <xf numFmtId="0" fontId="75" fillId="0" borderId="0" xfId="1934"/>
    <xf numFmtId="0" fontId="127" fillId="0" borderId="0" xfId="1496" applyFont="1"/>
    <xf numFmtId="0" fontId="127" fillId="0" borderId="0" xfId="1934" applyFont="1"/>
    <xf numFmtId="0" fontId="75" fillId="0" borderId="0" xfId="1935"/>
    <xf numFmtId="167" fontId="127" fillId="0" borderId="0" xfId="1937" applyNumberFormat="1" applyFont="1" applyFill="1" applyBorder="1"/>
    <xf numFmtId="0" fontId="127" fillId="0" borderId="0" xfId="1496" applyFont="1" applyAlignment="1">
      <alignment horizontal="left"/>
    </xf>
    <xf numFmtId="167" fontId="103" fillId="0" borderId="1" xfId="276" applyNumberFormat="1" applyFont="1" applyFill="1" applyBorder="1"/>
    <xf numFmtId="42" fontId="103" fillId="0" borderId="0" xfId="276" applyNumberFormat="1" applyFont="1" applyFill="1"/>
    <xf numFmtId="42" fontId="103" fillId="0" borderId="0" xfId="276" applyNumberFormat="1" applyFont="1" applyFill="1" applyBorder="1"/>
    <xf numFmtId="41" fontId="103" fillId="0" borderId="0" xfId="276" applyNumberFormat="1" applyFont="1" applyFill="1"/>
    <xf numFmtId="2" fontId="103" fillId="0" borderId="0" xfId="0" quotePrefix="1" applyNumberFormat="1" applyFont="1" applyAlignment="1">
      <alignment horizontal="center"/>
    </xf>
    <xf numFmtId="41" fontId="103" fillId="0" borderId="1" xfId="276" applyNumberFormat="1" applyFont="1" applyFill="1" applyBorder="1"/>
    <xf numFmtId="0" fontId="116" fillId="0" borderId="1" xfId="553" applyNumberFormat="1" applyFont="1" applyFill="1" applyBorder="1" applyAlignment="1">
      <alignment horizontal="center"/>
    </xf>
    <xf numFmtId="0" fontId="103" fillId="0" borderId="0" xfId="553" applyNumberFormat="1" applyFont="1" applyFill="1" applyBorder="1" applyAlignment="1">
      <alignment horizontal="center"/>
    </xf>
    <xf numFmtId="6" fontId="109" fillId="0" borderId="0" xfId="0" applyNumberFormat="1" applyFont="1"/>
    <xf numFmtId="3" fontId="109" fillId="0" borderId="0" xfId="0" applyNumberFormat="1" applyFont="1"/>
    <xf numFmtId="43" fontId="109" fillId="0" borderId="0" xfId="276" applyFont="1" applyFill="1" applyBorder="1"/>
    <xf numFmtId="1" fontId="109" fillId="0" borderId="0" xfId="0" applyNumberFormat="1" applyFont="1"/>
    <xf numFmtId="41" fontId="2" fillId="0" borderId="1" xfId="276" applyNumberFormat="1" applyFont="1" applyFill="1" applyBorder="1"/>
    <xf numFmtId="0" fontId="103" fillId="0" borderId="0" xfId="1490" quotePrefix="1" applyFont="1" applyAlignment="1">
      <alignment horizontal="center"/>
    </xf>
    <xf numFmtId="167" fontId="86" fillId="0" borderId="1" xfId="276" applyNumberFormat="1" applyFont="1" applyFill="1" applyBorder="1"/>
    <xf numFmtId="166" fontId="86" fillId="0" borderId="1" xfId="1689" applyNumberFormat="1" applyFont="1" applyFill="1" applyBorder="1"/>
    <xf numFmtId="176" fontId="86" fillId="73" borderId="0" xfId="567" applyNumberFormat="1" applyFont="1" applyFill="1" applyBorder="1"/>
    <xf numFmtId="0" fontId="0" fillId="0" borderId="0" xfId="1934" applyFont="1"/>
    <xf numFmtId="41" fontId="113" fillId="0" borderId="0" xfId="276" applyNumberFormat="1" applyFont="1" applyFill="1" applyBorder="1"/>
    <xf numFmtId="41" fontId="113" fillId="64" borderId="0" xfId="276" applyNumberFormat="1" applyFont="1" applyFill="1" applyBorder="1"/>
    <xf numFmtId="41" fontId="113" fillId="64" borderId="1" xfId="276" applyNumberFormat="1" applyFont="1" applyFill="1" applyBorder="1" applyAlignment="1">
      <alignment horizontal="right"/>
    </xf>
    <xf numFmtId="41" fontId="113" fillId="64" borderId="1" xfId="276" applyNumberFormat="1" applyFont="1" applyFill="1" applyBorder="1"/>
    <xf numFmtId="42" fontId="103" fillId="0" borderId="2" xfId="563" applyNumberFormat="1" applyFont="1" applyBorder="1"/>
    <xf numFmtId="42" fontId="103" fillId="0" borderId="0" xfId="563" applyNumberFormat="1" applyFont="1" applyFill="1"/>
    <xf numFmtId="41" fontId="103" fillId="0" borderId="1" xfId="378" applyNumberFormat="1" applyFont="1" applyFill="1" applyBorder="1"/>
    <xf numFmtId="42" fontId="103" fillId="0" borderId="2" xfId="0" applyNumberFormat="1" applyFont="1" applyBorder="1"/>
    <xf numFmtId="41" fontId="103" fillId="0" borderId="0" xfId="276" applyNumberFormat="1" applyFont="1"/>
    <xf numFmtId="42" fontId="103" fillId="0" borderId="0" xfId="553" applyNumberFormat="1" applyFont="1" applyFill="1"/>
    <xf numFmtId="1" fontId="86" fillId="70" borderId="0" xfId="1378" applyNumberFormat="1" applyFont="1" applyFill="1" applyAlignment="1">
      <alignment horizontal="center"/>
    </xf>
    <xf numFmtId="164" fontId="86" fillId="70" borderId="0" xfId="1378" applyNumberFormat="1" applyFont="1" applyFill="1"/>
    <xf numFmtId="167" fontId="86" fillId="70" borderId="1" xfId="276" applyNumberFormat="1" applyFont="1" applyFill="1" applyBorder="1"/>
    <xf numFmtId="166" fontId="86" fillId="70" borderId="1" xfId="1689" applyNumberFormat="1" applyFont="1" applyFill="1" applyBorder="1"/>
    <xf numFmtId="167" fontId="113" fillId="0" borderId="0" xfId="276" applyNumberFormat="1" applyFont="1" applyFill="1"/>
    <xf numFmtId="9" fontId="103" fillId="0" borderId="0" xfId="1490" applyNumberFormat="1" applyFont="1" applyAlignment="1">
      <alignment horizontal="center"/>
    </xf>
    <xf numFmtId="0" fontId="131" fillId="0" borderId="0" xfId="0" applyFont="1"/>
    <xf numFmtId="0" fontId="132" fillId="0" borderId="0" xfId="0" applyFont="1"/>
    <xf numFmtId="0" fontId="131" fillId="77" borderId="30" xfId="0" applyFont="1" applyFill="1" applyBorder="1" applyAlignment="1" applyProtection="1">
      <alignment horizontal="center"/>
      <protection locked="0"/>
    </xf>
    <xf numFmtId="0" fontId="131" fillId="0" borderId="0" xfId="0" quotePrefix="1" applyFont="1"/>
    <xf numFmtId="0" fontId="131" fillId="0" borderId="0" xfId="0" applyFont="1" applyAlignment="1">
      <alignment horizontal="center"/>
    </xf>
    <xf numFmtId="167" fontId="131" fillId="77" borderId="30" xfId="276" applyNumberFormat="1" applyFont="1" applyFill="1" applyBorder="1" applyProtection="1">
      <protection locked="0"/>
    </xf>
    <xf numFmtId="0" fontId="133" fillId="0" borderId="0" xfId="0" applyFont="1"/>
    <xf numFmtId="167" fontId="131" fillId="0" borderId="0" xfId="276" applyNumberFormat="1" applyFont="1" applyFill="1" applyBorder="1" applyProtection="1">
      <protection locked="0"/>
    </xf>
    <xf numFmtId="167" fontId="131" fillId="0" borderId="0" xfId="276" applyNumberFormat="1" applyFont="1" applyBorder="1" applyProtection="1"/>
    <xf numFmtId="167" fontId="132" fillId="0" borderId="0" xfId="276" applyNumberFormat="1" applyFont="1" applyBorder="1" applyAlignment="1" applyProtection="1">
      <alignment horizontal="center"/>
    </xf>
    <xf numFmtId="166" fontId="131" fillId="0" borderId="31" xfId="1689" quotePrefix="1" applyNumberFormat="1" applyFont="1" applyBorder="1" applyProtection="1"/>
    <xf numFmtId="167" fontId="131" fillId="0" borderId="31" xfId="276" quotePrefix="1" applyNumberFormat="1" applyFont="1" applyBorder="1" applyProtection="1"/>
    <xf numFmtId="3" fontId="131" fillId="0" borderId="0" xfId="0" applyNumberFormat="1" applyFont="1"/>
    <xf numFmtId="167" fontId="131" fillId="0" borderId="0" xfId="0" quotePrefix="1" applyNumberFormat="1" applyFont="1"/>
    <xf numFmtId="43" fontId="131" fillId="0" borderId="0" xfId="276" applyFont="1" applyProtection="1"/>
    <xf numFmtId="43" fontId="0" fillId="0" borderId="0" xfId="0" applyNumberFormat="1"/>
    <xf numFmtId="167" fontId="131" fillId="0" borderId="0" xfId="0" applyNumberFormat="1" applyFont="1"/>
    <xf numFmtId="0" fontId="133" fillId="0" borderId="0" xfId="0" applyFont="1" applyAlignment="1">
      <alignment horizontal="left" indent="1"/>
    </xf>
    <xf numFmtId="0" fontId="134" fillId="0" borderId="0" xfId="1523" applyFont="1" applyAlignment="1">
      <alignment horizontal="center"/>
    </xf>
    <xf numFmtId="0" fontId="135" fillId="0" borderId="0" xfId="1523" applyFont="1" applyAlignment="1">
      <alignment horizontal="right"/>
    </xf>
    <xf numFmtId="167" fontId="131" fillId="0" borderId="0" xfId="276" quotePrefix="1" applyNumberFormat="1" applyFont="1" applyProtection="1"/>
    <xf numFmtId="0" fontId="136" fillId="0" borderId="0" xfId="0" applyFont="1"/>
    <xf numFmtId="0" fontId="136" fillId="0" borderId="0" xfId="0" applyFont="1" applyAlignment="1">
      <alignment horizontal="center"/>
    </xf>
    <xf numFmtId="0" fontId="137" fillId="0" borderId="0" xfId="1378" applyFont="1" applyAlignment="1">
      <alignment horizontal="left"/>
    </xf>
    <xf numFmtId="0" fontId="137" fillId="0" borderId="0" xfId="1378" applyFont="1" applyAlignment="1">
      <alignment horizontal="left" indent="1"/>
    </xf>
    <xf numFmtId="0" fontId="131" fillId="0" borderId="0" xfId="0" applyFont="1" applyAlignment="1">
      <alignment horizontal="left" indent="1"/>
    </xf>
    <xf numFmtId="167" fontId="131" fillId="0" borderId="10" xfId="0" applyNumberFormat="1" applyFont="1" applyBorder="1"/>
    <xf numFmtId="167" fontId="131" fillId="0" borderId="0" xfId="276" applyNumberFormat="1" applyFont="1" applyProtection="1"/>
    <xf numFmtId="0" fontId="131" fillId="0" borderId="1" xfId="0" applyFont="1" applyBorder="1" applyAlignment="1">
      <alignment horizontal="center"/>
    </xf>
    <xf numFmtId="166" fontId="131" fillId="0" borderId="0" xfId="0" quotePrefix="1" applyNumberFormat="1" applyFont="1"/>
    <xf numFmtId="176" fontId="131" fillId="0" borderId="0" xfId="553" quotePrefix="1" applyNumberFormat="1" applyFont="1" applyProtection="1"/>
    <xf numFmtId="176" fontId="131" fillId="0" borderId="0" xfId="553" applyNumberFormat="1" applyFont="1" applyProtection="1"/>
    <xf numFmtId="10" fontId="131" fillId="0" borderId="0" xfId="1689" applyNumberFormat="1" applyFont="1" applyProtection="1"/>
    <xf numFmtId="10" fontId="131" fillId="0" borderId="0" xfId="0" applyNumberFormat="1" applyFont="1"/>
    <xf numFmtId="42" fontId="131" fillId="0" borderId="10" xfId="0" applyNumberFormat="1" applyFont="1" applyBorder="1"/>
    <xf numFmtId="167" fontId="113" fillId="0" borderId="0" xfId="276" applyNumberFormat="1" applyFont="1" applyFill="1" applyBorder="1" applyAlignment="1">
      <alignment horizontal="right"/>
    </xf>
    <xf numFmtId="167" fontId="113" fillId="64" borderId="0" xfId="276" applyNumberFormat="1" applyFont="1" applyFill="1" applyBorder="1" applyAlignment="1">
      <alignment horizontal="right"/>
    </xf>
    <xf numFmtId="167" fontId="113" fillId="64" borderId="0" xfId="276" applyNumberFormat="1" applyFont="1" applyFill="1" applyBorder="1"/>
    <xf numFmtId="167" fontId="113" fillId="64" borderId="1" xfId="276" applyNumberFormat="1" applyFont="1" applyFill="1" applyBorder="1" applyAlignment="1">
      <alignment horizontal="right"/>
    </xf>
    <xf numFmtId="167" fontId="113" fillId="64" borderId="1" xfId="276" applyNumberFormat="1" applyFont="1" applyFill="1" applyBorder="1"/>
    <xf numFmtId="0" fontId="137" fillId="0" borderId="0" xfId="1669" applyFont="1" applyAlignment="1">
      <alignment vertical="center"/>
    </xf>
    <xf numFmtId="0" fontId="131" fillId="0" borderId="0" xfId="1495" applyFont="1"/>
    <xf numFmtId="0" fontId="137" fillId="0" borderId="0" xfId="1390" applyFont="1" applyAlignment="1">
      <alignment vertical="center"/>
    </xf>
    <xf numFmtId="10" fontId="137" fillId="0" borderId="0" xfId="1390" applyNumberFormat="1" applyFont="1" applyAlignment="1">
      <alignment horizontal="left" vertical="center"/>
    </xf>
    <xf numFmtId="0" fontId="137" fillId="0" borderId="0" xfId="1390" applyFont="1" applyAlignment="1">
      <alignment horizontal="left" vertical="top" wrapText="1"/>
    </xf>
    <xf numFmtId="0" fontId="137" fillId="0" borderId="0" xfId="1390" applyFont="1" applyAlignment="1">
      <alignment horizontal="left" vertical="top"/>
    </xf>
    <xf numFmtId="0" fontId="123" fillId="0" borderId="0" xfId="0" applyFont="1" applyAlignment="1">
      <alignment horizontal="center"/>
    </xf>
    <xf numFmtId="0" fontId="122" fillId="0" borderId="0" xfId="0" applyFont="1" applyAlignment="1">
      <alignment horizontal="center"/>
    </xf>
    <xf numFmtId="0" fontId="4" fillId="0" borderId="1" xfId="1378" applyFont="1" applyBorder="1" applyAlignment="1">
      <alignment horizontal="center"/>
    </xf>
    <xf numFmtId="0" fontId="0" fillId="0" borderId="19" xfId="0" applyBorder="1"/>
    <xf numFmtId="0" fontId="108" fillId="72" borderId="0" xfId="1523" applyFont="1" applyFill="1" applyAlignment="1">
      <alignment horizontal="center"/>
    </xf>
    <xf numFmtId="0" fontId="122" fillId="0" borderId="0" xfId="0" quotePrefix="1" applyFont="1" applyAlignment="1">
      <alignment horizontal="center"/>
    </xf>
    <xf numFmtId="0" fontId="108" fillId="0" borderId="0" xfId="1523" applyFont="1" applyAlignment="1">
      <alignment horizontal="center"/>
    </xf>
    <xf numFmtId="0" fontId="117" fillId="0" borderId="0" xfId="0" applyFont="1" applyAlignment="1">
      <alignment horizontal="center"/>
    </xf>
    <xf numFmtId="0" fontId="118" fillId="0" borderId="0" xfId="0" applyFont="1" applyAlignment="1">
      <alignment horizontal="center"/>
    </xf>
  </cellXfs>
  <cellStyles count="2956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3" xfId="4" xr:uid="{00000000-0005-0000-0000-000003000000}"/>
    <cellStyle name="20% - Accent1 2 4" xfId="5" xr:uid="{00000000-0005-0000-0000-000004000000}"/>
    <cellStyle name="20% - Accent1 2 5" xfId="6" xr:uid="{00000000-0005-0000-0000-000005000000}"/>
    <cellStyle name="20% - Accent1 2 6" xfId="7" xr:uid="{00000000-0005-0000-0000-000006000000}"/>
    <cellStyle name="20% - Accent1 2 7" xfId="8" xr:uid="{00000000-0005-0000-0000-000007000000}"/>
    <cellStyle name="20% - Accent1 2 7 2" xfId="2002" xr:uid="{272A3EAE-651C-4D1F-851B-B0A585A465CD}"/>
    <cellStyle name="20% - Accent1 2 8" xfId="9" xr:uid="{00000000-0005-0000-0000-000008000000}"/>
    <cellStyle name="20% - Accent1 2 8 2" xfId="2003" xr:uid="{F0F8C3CD-46AA-4211-93C4-C9ACF4BD4B8F}"/>
    <cellStyle name="20% - Accent1 2 9" xfId="2001" xr:uid="{B39A7F5A-7798-4A46-96E8-62EA83651B84}"/>
    <cellStyle name="20% - Accent1 3" xfId="10" xr:uid="{00000000-0005-0000-0000-000009000000}"/>
    <cellStyle name="20% - Accent1 3 2" xfId="2004" xr:uid="{6687B8B1-7807-4639-B579-93B4E5EA4CBA}"/>
    <cellStyle name="20% - Accent1 4" xfId="11" xr:uid="{00000000-0005-0000-0000-00000A000000}"/>
    <cellStyle name="20% - Accent1 4 2" xfId="2005" xr:uid="{80C8B683-0FE1-4C44-9D99-9E9704034F69}"/>
    <cellStyle name="20% - Accent1 5" xfId="1989" xr:uid="{53927FF0-EAD5-44FC-B257-6517820F5203}"/>
    <cellStyle name="20% - Accent2" xfId="12" builtinId="34" customBuiltin="1"/>
    <cellStyle name="20% - Accent2 2" xfId="13" xr:uid="{00000000-0005-0000-0000-00000C000000}"/>
    <cellStyle name="20% - Accent2 2 2" xfId="14" xr:uid="{00000000-0005-0000-0000-00000D000000}"/>
    <cellStyle name="20% - Accent2 2 3" xfId="15" xr:uid="{00000000-0005-0000-0000-00000E000000}"/>
    <cellStyle name="20% - Accent2 2 4" xfId="16" xr:uid="{00000000-0005-0000-0000-00000F000000}"/>
    <cellStyle name="20% - Accent2 2 5" xfId="17" xr:uid="{00000000-0005-0000-0000-000010000000}"/>
    <cellStyle name="20% - Accent2 2 6" xfId="18" xr:uid="{00000000-0005-0000-0000-000011000000}"/>
    <cellStyle name="20% - Accent2 2 7" xfId="19" xr:uid="{00000000-0005-0000-0000-000012000000}"/>
    <cellStyle name="20% - Accent2 2 7 2" xfId="2007" xr:uid="{AFCFED84-231D-4549-AECB-495C00BB5C8E}"/>
    <cellStyle name="20% - Accent2 2 8" xfId="20" xr:uid="{00000000-0005-0000-0000-000013000000}"/>
    <cellStyle name="20% - Accent2 2 8 2" xfId="2008" xr:uid="{F03B4EE0-F1AF-45DD-8A6F-41365B2FF94A}"/>
    <cellStyle name="20% - Accent2 2 9" xfId="2006" xr:uid="{A9C1673A-62B2-41A6-833F-7A0A74374669}"/>
    <cellStyle name="20% - Accent2 3" xfId="21" xr:uid="{00000000-0005-0000-0000-000014000000}"/>
    <cellStyle name="20% - Accent2 3 2" xfId="2009" xr:uid="{D768EA6C-BC36-42AE-861A-77525D1DA4FC}"/>
    <cellStyle name="20% - Accent2 4" xfId="22" xr:uid="{00000000-0005-0000-0000-000015000000}"/>
    <cellStyle name="20% - Accent2 4 2" xfId="2010" xr:uid="{D111FBE7-BF5D-4CFF-B385-6BC97CE7CA43}"/>
    <cellStyle name="20% - Accent2 5" xfId="1991" xr:uid="{25B6D115-103D-4FE8-BE3C-DBF9F9AAF0E6}"/>
    <cellStyle name="20% - Accent3" xfId="23" builtinId="38" customBuiltin="1"/>
    <cellStyle name="20% - Accent3 2" xfId="24" xr:uid="{00000000-0005-0000-0000-000017000000}"/>
    <cellStyle name="20% - Accent3 2 2" xfId="25" xr:uid="{00000000-0005-0000-0000-000018000000}"/>
    <cellStyle name="20% - Accent3 2 3" xfId="26" xr:uid="{00000000-0005-0000-0000-000019000000}"/>
    <cellStyle name="20% - Accent3 2 4" xfId="27" xr:uid="{00000000-0005-0000-0000-00001A000000}"/>
    <cellStyle name="20% - Accent3 2 5" xfId="28" xr:uid="{00000000-0005-0000-0000-00001B000000}"/>
    <cellStyle name="20% - Accent3 2 6" xfId="29" xr:uid="{00000000-0005-0000-0000-00001C000000}"/>
    <cellStyle name="20% - Accent3 2 7" xfId="30" xr:uid="{00000000-0005-0000-0000-00001D000000}"/>
    <cellStyle name="20% - Accent3 2 7 2" xfId="2012" xr:uid="{6EF27B8D-A756-4E04-9BD6-FAE465274F1B}"/>
    <cellStyle name="20% - Accent3 2 8" xfId="31" xr:uid="{00000000-0005-0000-0000-00001E000000}"/>
    <cellStyle name="20% - Accent3 2 8 2" xfId="2013" xr:uid="{CB5A7BEF-D1F8-47EC-AFFA-1D169B917D6B}"/>
    <cellStyle name="20% - Accent3 2 9" xfId="2011" xr:uid="{8510EAD1-B5A4-4B07-86AC-73A8D46F205E}"/>
    <cellStyle name="20% - Accent3 3" xfId="32" xr:uid="{00000000-0005-0000-0000-00001F000000}"/>
    <cellStyle name="20% - Accent3 3 2" xfId="2014" xr:uid="{F8F9828D-C911-460B-9D52-B33DAAAC339B}"/>
    <cellStyle name="20% - Accent3 4" xfId="33" xr:uid="{00000000-0005-0000-0000-000020000000}"/>
    <cellStyle name="20% - Accent3 4 2" xfId="2015" xr:uid="{2655F41E-01B5-41F3-9CBD-39F190F3C4C0}"/>
    <cellStyle name="20% - Accent3 5" xfId="1993" xr:uid="{51E1ACC0-2A08-4E9E-9CDD-633AAC97DE84}"/>
    <cellStyle name="20% - Accent4" xfId="34" builtinId="42" customBuiltin="1"/>
    <cellStyle name="20% - Accent4 2" xfId="35" xr:uid="{00000000-0005-0000-0000-000022000000}"/>
    <cellStyle name="20% - Accent4 2 2" xfId="36" xr:uid="{00000000-0005-0000-0000-000023000000}"/>
    <cellStyle name="20% - Accent4 2 3" xfId="37" xr:uid="{00000000-0005-0000-0000-000024000000}"/>
    <cellStyle name="20% - Accent4 2 4" xfId="38" xr:uid="{00000000-0005-0000-0000-000025000000}"/>
    <cellStyle name="20% - Accent4 2 5" xfId="39" xr:uid="{00000000-0005-0000-0000-000026000000}"/>
    <cellStyle name="20% - Accent4 2 6" xfId="40" xr:uid="{00000000-0005-0000-0000-000027000000}"/>
    <cellStyle name="20% - Accent4 2 7" xfId="41" xr:uid="{00000000-0005-0000-0000-000028000000}"/>
    <cellStyle name="20% - Accent4 2 7 2" xfId="2017" xr:uid="{E17FDBB8-31B2-41F2-A713-19C02BCEAB96}"/>
    <cellStyle name="20% - Accent4 2 8" xfId="42" xr:uid="{00000000-0005-0000-0000-000029000000}"/>
    <cellStyle name="20% - Accent4 2 8 2" xfId="2018" xr:uid="{43318B48-5622-4532-9CDD-CB3EA31C908E}"/>
    <cellStyle name="20% - Accent4 2 9" xfId="2016" xr:uid="{D901DC54-51D6-4FC8-8702-3C82C1C7C5CE}"/>
    <cellStyle name="20% - Accent4 3" xfId="43" xr:uid="{00000000-0005-0000-0000-00002A000000}"/>
    <cellStyle name="20% - Accent4 3 2" xfId="2019" xr:uid="{4D089A5C-3D47-4615-AA0A-9A1551BC1D82}"/>
    <cellStyle name="20% - Accent4 4" xfId="44" xr:uid="{00000000-0005-0000-0000-00002B000000}"/>
    <cellStyle name="20% - Accent4 4 2" xfId="2020" xr:uid="{945DAF90-E0F1-48BC-B102-7C9648F1F4B9}"/>
    <cellStyle name="20% - Accent4 5" xfId="1995" xr:uid="{A2370469-8670-4AC6-85AA-B42987B66D09}"/>
    <cellStyle name="20% - Accent5" xfId="45" builtinId="46" customBuiltin="1"/>
    <cellStyle name="20% - Accent5 2" xfId="46" xr:uid="{00000000-0005-0000-0000-00002D000000}"/>
    <cellStyle name="20% - Accent5 2 2" xfId="47" xr:uid="{00000000-0005-0000-0000-00002E000000}"/>
    <cellStyle name="20% - Accent5 2 3" xfId="48" xr:uid="{00000000-0005-0000-0000-00002F000000}"/>
    <cellStyle name="20% - Accent5 2 4" xfId="49" xr:uid="{00000000-0005-0000-0000-000030000000}"/>
    <cellStyle name="20% - Accent5 2 4 2" xfId="2022" xr:uid="{C3E2DD07-DD2B-411C-86D0-F8DA7B8B079F}"/>
    <cellStyle name="20% - Accent5 2 5" xfId="50" xr:uid="{00000000-0005-0000-0000-000031000000}"/>
    <cellStyle name="20% - Accent5 2 5 2" xfId="2023" xr:uid="{96D30802-FC41-438D-8306-3A2C56BF1CC8}"/>
    <cellStyle name="20% - Accent5 2 6" xfId="2021" xr:uid="{BB407018-2DAE-472F-893D-93EC0208766E}"/>
    <cellStyle name="20% - Accent5 3" xfId="51" xr:uid="{00000000-0005-0000-0000-000032000000}"/>
    <cellStyle name="20% - Accent5 3 2" xfId="2024" xr:uid="{7EE73BB5-6C2D-4627-A68D-B9C422A31576}"/>
    <cellStyle name="20% - Accent5 4" xfId="52" xr:uid="{00000000-0005-0000-0000-000033000000}"/>
    <cellStyle name="20% - Accent5 4 2" xfId="2025" xr:uid="{DE0E9D01-BC2E-48D0-AFB9-3E5BDDC0EC53}"/>
    <cellStyle name="20% - Accent5 5" xfId="1997" xr:uid="{5AF63C94-99D9-4337-B126-7629EF736541}"/>
    <cellStyle name="20% - Accent6" xfId="53" builtinId="50" customBuiltin="1"/>
    <cellStyle name="20% - Accent6 2" xfId="54" xr:uid="{00000000-0005-0000-0000-000035000000}"/>
    <cellStyle name="20% - Accent6 2 2" xfId="55" xr:uid="{00000000-0005-0000-0000-000036000000}"/>
    <cellStyle name="20% - Accent6 2 3" xfId="56" xr:uid="{00000000-0005-0000-0000-000037000000}"/>
    <cellStyle name="20% - Accent6 2 4" xfId="57" xr:uid="{00000000-0005-0000-0000-000038000000}"/>
    <cellStyle name="20% - Accent6 2 5" xfId="58" xr:uid="{00000000-0005-0000-0000-000039000000}"/>
    <cellStyle name="20% - Accent6 2 6" xfId="59" xr:uid="{00000000-0005-0000-0000-00003A000000}"/>
    <cellStyle name="20% - Accent6 2 7" xfId="60" xr:uid="{00000000-0005-0000-0000-00003B000000}"/>
    <cellStyle name="20% - Accent6 2 7 2" xfId="2027" xr:uid="{62606F7C-0661-4283-8733-FD98ACDFE457}"/>
    <cellStyle name="20% - Accent6 2 8" xfId="61" xr:uid="{00000000-0005-0000-0000-00003C000000}"/>
    <cellStyle name="20% - Accent6 2 8 2" xfId="2028" xr:uid="{D68A23C0-5012-44AA-83ED-36DD60EDA31D}"/>
    <cellStyle name="20% - Accent6 2 9" xfId="2026" xr:uid="{762A8D7F-324D-4365-B4A8-B5455BCD9D09}"/>
    <cellStyle name="20% - Accent6 3" xfId="62" xr:uid="{00000000-0005-0000-0000-00003D000000}"/>
    <cellStyle name="20% - Accent6 3 2" xfId="2029" xr:uid="{16A09C1D-7AA0-45E7-A1BB-D11AE32DB76D}"/>
    <cellStyle name="20% - Accent6 4" xfId="63" xr:uid="{00000000-0005-0000-0000-00003E000000}"/>
    <cellStyle name="20% - Accent6 4 2" xfId="2030" xr:uid="{B374A063-13A7-4014-8EC8-6127B5A02BD9}"/>
    <cellStyle name="20% - Accent6 5" xfId="1999" xr:uid="{1FD8BF82-FBB4-4D07-929D-46E29CFF8467}"/>
    <cellStyle name="40% - Accent1" xfId="64" builtinId="31" customBuiltin="1"/>
    <cellStyle name="40% - Accent1 2" xfId="65" xr:uid="{00000000-0005-0000-0000-000040000000}"/>
    <cellStyle name="40% - Accent1 2 2" xfId="66" xr:uid="{00000000-0005-0000-0000-000041000000}"/>
    <cellStyle name="40% - Accent1 2 3" xfId="67" xr:uid="{00000000-0005-0000-0000-000042000000}"/>
    <cellStyle name="40% - Accent1 2 4" xfId="68" xr:uid="{00000000-0005-0000-0000-000043000000}"/>
    <cellStyle name="40% - Accent1 2 5" xfId="69" xr:uid="{00000000-0005-0000-0000-000044000000}"/>
    <cellStyle name="40% - Accent1 2 6" xfId="70" xr:uid="{00000000-0005-0000-0000-000045000000}"/>
    <cellStyle name="40% - Accent1 2 7" xfId="71" xr:uid="{00000000-0005-0000-0000-000046000000}"/>
    <cellStyle name="40% - Accent1 2 7 2" xfId="2032" xr:uid="{173D488D-6A08-4030-951D-8ACEE86C66BC}"/>
    <cellStyle name="40% - Accent1 2 8" xfId="72" xr:uid="{00000000-0005-0000-0000-000047000000}"/>
    <cellStyle name="40% - Accent1 2 8 2" xfId="2033" xr:uid="{03E2E97E-30AA-46C9-AC8A-1AE9376657BD}"/>
    <cellStyle name="40% - Accent1 2 9" xfId="2031" xr:uid="{B1DFFC7D-73E1-4708-AFF8-7A792E0A7874}"/>
    <cellStyle name="40% - Accent1 3" xfId="73" xr:uid="{00000000-0005-0000-0000-000048000000}"/>
    <cellStyle name="40% - Accent1 3 2" xfId="2034" xr:uid="{72C9C65F-3FA8-47A3-BA20-F8C788987FCE}"/>
    <cellStyle name="40% - Accent1 4" xfId="74" xr:uid="{00000000-0005-0000-0000-000049000000}"/>
    <cellStyle name="40% - Accent1 4 2" xfId="2035" xr:uid="{36AFD6B8-C9E1-41DA-8E64-4A9EC5977D98}"/>
    <cellStyle name="40% - Accent1 5" xfId="1990" xr:uid="{D8F18FF7-CAAA-4B6B-BA72-CC7082AA4160}"/>
    <cellStyle name="40% - Accent2" xfId="75" builtinId="35" customBuiltin="1"/>
    <cellStyle name="40% - Accent2 2" xfId="76" xr:uid="{00000000-0005-0000-0000-00004B000000}"/>
    <cellStyle name="40% - Accent2 2 2" xfId="77" xr:uid="{00000000-0005-0000-0000-00004C000000}"/>
    <cellStyle name="40% - Accent2 2 3" xfId="78" xr:uid="{00000000-0005-0000-0000-00004D000000}"/>
    <cellStyle name="40% - Accent2 2 4" xfId="79" xr:uid="{00000000-0005-0000-0000-00004E000000}"/>
    <cellStyle name="40% - Accent2 2 4 2" xfId="2037" xr:uid="{7970D094-D667-4C80-A5FB-B2F7D9F4836F}"/>
    <cellStyle name="40% - Accent2 2 5" xfId="80" xr:uid="{00000000-0005-0000-0000-00004F000000}"/>
    <cellStyle name="40% - Accent2 2 5 2" xfId="2038" xr:uid="{AA13C8A2-41DB-4C4F-9066-1EBD632C4C76}"/>
    <cellStyle name="40% - Accent2 2 6" xfId="2036" xr:uid="{E65A0B02-F9E6-4A59-9252-AD7E01988353}"/>
    <cellStyle name="40% - Accent2 3" xfId="81" xr:uid="{00000000-0005-0000-0000-000050000000}"/>
    <cellStyle name="40% - Accent2 3 2" xfId="2039" xr:uid="{ACE84FB3-1ABD-4B84-9BBB-3C071521CA01}"/>
    <cellStyle name="40% - Accent2 4" xfId="82" xr:uid="{00000000-0005-0000-0000-000051000000}"/>
    <cellStyle name="40% - Accent2 4 2" xfId="2040" xr:uid="{D292A440-4619-43C5-9F2F-FB257AED3355}"/>
    <cellStyle name="40% - Accent2 5" xfId="1992" xr:uid="{E1974EE8-1F46-472C-92FE-8DFA52D7BD33}"/>
    <cellStyle name="40% - Accent3" xfId="83" builtinId="39" customBuiltin="1"/>
    <cellStyle name="40% - Accent3 2" xfId="84" xr:uid="{00000000-0005-0000-0000-000053000000}"/>
    <cellStyle name="40% - Accent3 2 2" xfId="85" xr:uid="{00000000-0005-0000-0000-000054000000}"/>
    <cellStyle name="40% - Accent3 2 3" xfId="86" xr:uid="{00000000-0005-0000-0000-000055000000}"/>
    <cellStyle name="40% - Accent3 2 4" xfId="87" xr:uid="{00000000-0005-0000-0000-000056000000}"/>
    <cellStyle name="40% - Accent3 2 5" xfId="88" xr:uid="{00000000-0005-0000-0000-000057000000}"/>
    <cellStyle name="40% - Accent3 2 6" xfId="89" xr:uid="{00000000-0005-0000-0000-000058000000}"/>
    <cellStyle name="40% - Accent3 2 7" xfId="90" xr:uid="{00000000-0005-0000-0000-000059000000}"/>
    <cellStyle name="40% - Accent3 2 7 2" xfId="2042" xr:uid="{101812F3-E93D-4E9D-AF33-04B2525DBB40}"/>
    <cellStyle name="40% - Accent3 2 8" xfId="91" xr:uid="{00000000-0005-0000-0000-00005A000000}"/>
    <cellStyle name="40% - Accent3 2 8 2" xfId="2043" xr:uid="{32031DE9-8C40-4016-80FF-5DC5DFDDE173}"/>
    <cellStyle name="40% - Accent3 2 9" xfId="2041" xr:uid="{88DD925F-A71E-48EB-9396-172E6F27F867}"/>
    <cellStyle name="40% - Accent3 3" xfId="92" xr:uid="{00000000-0005-0000-0000-00005B000000}"/>
    <cellStyle name="40% - Accent3 3 2" xfId="2044" xr:uid="{551DBABD-9D37-4750-A454-B782E7A9B859}"/>
    <cellStyle name="40% - Accent3 4" xfId="93" xr:uid="{00000000-0005-0000-0000-00005C000000}"/>
    <cellStyle name="40% - Accent3 4 2" xfId="2045" xr:uid="{6CEEEAB8-E374-4045-9D0E-AAE3F7C14423}"/>
    <cellStyle name="40% - Accent3 5" xfId="1994" xr:uid="{6560F4DC-DB7F-4874-9CA6-5EDD4C144378}"/>
    <cellStyle name="40% - Accent4" xfId="94" builtinId="43" customBuiltin="1"/>
    <cellStyle name="40% - Accent4 2" xfId="95" xr:uid="{00000000-0005-0000-0000-00005E000000}"/>
    <cellStyle name="40% - Accent4 2 2" xfId="96" xr:uid="{00000000-0005-0000-0000-00005F000000}"/>
    <cellStyle name="40% - Accent4 2 3" xfId="97" xr:uid="{00000000-0005-0000-0000-000060000000}"/>
    <cellStyle name="40% - Accent4 2 4" xfId="98" xr:uid="{00000000-0005-0000-0000-000061000000}"/>
    <cellStyle name="40% - Accent4 2 5" xfId="99" xr:uid="{00000000-0005-0000-0000-000062000000}"/>
    <cellStyle name="40% - Accent4 2 6" xfId="100" xr:uid="{00000000-0005-0000-0000-000063000000}"/>
    <cellStyle name="40% - Accent4 2 7" xfId="101" xr:uid="{00000000-0005-0000-0000-000064000000}"/>
    <cellStyle name="40% - Accent4 2 7 2" xfId="2047" xr:uid="{D73225B6-7E98-4FE8-97B3-27A609C5AA70}"/>
    <cellStyle name="40% - Accent4 2 8" xfId="102" xr:uid="{00000000-0005-0000-0000-000065000000}"/>
    <cellStyle name="40% - Accent4 2 8 2" xfId="2048" xr:uid="{A64348E5-6326-4CE2-B905-C7D646C7DE27}"/>
    <cellStyle name="40% - Accent4 2 9" xfId="2046" xr:uid="{C0A9CC6C-C793-4B47-ADA6-167B23304B26}"/>
    <cellStyle name="40% - Accent4 3" xfId="103" xr:uid="{00000000-0005-0000-0000-000066000000}"/>
    <cellStyle name="40% - Accent4 3 2" xfId="2049" xr:uid="{52C3D277-E8B5-47C9-B799-948C68542F16}"/>
    <cellStyle name="40% - Accent4 4" xfId="104" xr:uid="{00000000-0005-0000-0000-000067000000}"/>
    <cellStyle name="40% - Accent4 4 2" xfId="2050" xr:uid="{F2003968-88F5-41C4-8130-142F49F03230}"/>
    <cellStyle name="40% - Accent4 5" xfId="1996" xr:uid="{C0EC2AB4-FF57-4D07-BB48-5C2D7DCB8A11}"/>
    <cellStyle name="40% - Accent5" xfId="105" builtinId="47" customBuiltin="1"/>
    <cellStyle name="40% - Accent5 2" xfId="106" xr:uid="{00000000-0005-0000-0000-000069000000}"/>
    <cellStyle name="40% - Accent5 2 2" xfId="107" xr:uid="{00000000-0005-0000-0000-00006A000000}"/>
    <cellStyle name="40% - Accent5 2 3" xfId="108" xr:uid="{00000000-0005-0000-0000-00006B000000}"/>
    <cellStyle name="40% - Accent5 2 4" xfId="109" xr:uid="{00000000-0005-0000-0000-00006C000000}"/>
    <cellStyle name="40% - Accent5 2 5" xfId="110" xr:uid="{00000000-0005-0000-0000-00006D000000}"/>
    <cellStyle name="40% - Accent5 2 6" xfId="111" xr:uid="{00000000-0005-0000-0000-00006E000000}"/>
    <cellStyle name="40% - Accent5 2 7" xfId="112" xr:uid="{00000000-0005-0000-0000-00006F000000}"/>
    <cellStyle name="40% - Accent5 2 7 2" xfId="2052" xr:uid="{72FF1888-8DF1-4BAC-B62A-3F76AA0C5F4D}"/>
    <cellStyle name="40% - Accent5 2 8" xfId="113" xr:uid="{00000000-0005-0000-0000-000070000000}"/>
    <cellStyle name="40% - Accent5 2 8 2" xfId="2053" xr:uid="{57CDB239-0771-422A-85DF-62D0B715E70E}"/>
    <cellStyle name="40% - Accent5 2 9" xfId="2051" xr:uid="{99F676D9-279A-4B6F-8F62-7770F4959833}"/>
    <cellStyle name="40% - Accent5 3" xfId="114" xr:uid="{00000000-0005-0000-0000-000071000000}"/>
    <cellStyle name="40% - Accent5 3 2" xfId="2054" xr:uid="{DC009AD2-2403-4003-902D-C7E107AAABE6}"/>
    <cellStyle name="40% - Accent5 4" xfId="115" xr:uid="{00000000-0005-0000-0000-000072000000}"/>
    <cellStyle name="40% - Accent5 4 2" xfId="2055" xr:uid="{D6E98F81-4E12-498E-AB4F-FF3B860C1C6E}"/>
    <cellStyle name="40% - Accent5 5" xfId="1998" xr:uid="{28C71E18-B472-4C9D-A246-26E0AF1D8B02}"/>
    <cellStyle name="40% - Accent6" xfId="116" builtinId="51" customBuiltin="1"/>
    <cellStyle name="40% - Accent6 2" xfId="117" xr:uid="{00000000-0005-0000-0000-000074000000}"/>
    <cellStyle name="40% - Accent6 2 2" xfId="118" xr:uid="{00000000-0005-0000-0000-000075000000}"/>
    <cellStyle name="40% - Accent6 2 3" xfId="119" xr:uid="{00000000-0005-0000-0000-000076000000}"/>
    <cellStyle name="40% - Accent6 2 4" xfId="120" xr:uid="{00000000-0005-0000-0000-000077000000}"/>
    <cellStyle name="40% - Accent6 2 5" xfId="121" xr:uid="{00000000-0005-0000-0000-000078000000}"/>
    <cellStyle name="40% - Accent6 2 6" xfId="122" xr:uid="{00000000-0005-0000-0000-000079000000}"/>
    <cellStyle name="40% - Accent6 2 7" xfId="123" xr:uid="{00000000-0005-0000-0000-00007A000000}"/>
    <cellStyle name="40% - Accent6 2 7 2" xfId="2057" xr:uid="{1B79CD20-AB62-47EE-838F-91E526A3F564}"/>
    <cellStyle name="40% - Accent6 2 8" xfId="124" xr:uid="{00000000-0005-0000-0000-00007B000000}"/>
    <cellStyle name="40% - Accent6 2 8 2" xfId="2058" xr:uid="{38BA4C1C-3B56-4BF7-AA98-3513748DF7CD}"/>
    <cellStyle name="40% - Accent6 2 9" xfId="2056" xr:uid="{0C6F97A9-CF2E-432E-A4A3-81F03F0239F8}"/>
    <cellStyle name="40% - Accent6 3" xfId="125" xr:uid="{00000000-0005-0000-0000-00007C000000}"/>
    <cellStyle name="40% - Accent6 3 2" xfId="2059" xr:uid="{EE26EA8D-AD9E-4D6C-81C6-70F5760181DF}"/>
    <cellStyle name="40% - Accent6 4" xfId="126" xr:uid="{00000000-0005-0000-0000-00007D000000}"/>
    <cellStyle name="40% - Accent6 4 2" xfId="2060" xr:uid="{3168C682-09FB-45D5-9E65-1CB9FC03DD8A}"/>
    <cellStyle name="40% - Accent6 5" xfId="2000" xr:uid="{2DC748CA-B066-4E65-BC03-A26A8AE2FC32}"/>
    <cellStyle name="60% - Accent1" xfId="127" builtinId="32" customBuiltin="1"/>
    <cellStyle name="60% - Accent1 2" xfId="128" xr:uid="{00000000-0005-0000-0000-00007F000000}"/>
    <cellStyle name="60% - Accent1 2 2" xfId="129" xr:uid="{00000000-0005-0000-0000-000080000000}"/>
    <cellStyle name="60% - Accent1 2 3" xfId="130" xr:uid="{00000000-0005-0000-0000-000081000000}"/>
    <cellStyle name="60% - Accent1 2 4" xfId="131" xr:uid="{00000000-0005-0000-0000-000082000000}"/>
    <cellStyle name="60% - Accent1 3" xfId="1947" xr:uid="{02F06786-8C95-4E48-90E1-8E0F0643DF30}"/>
    <cellStyle name="60% - Accent2" xfId="132" builtinId="36" customBuiltin="1"/>
    <cellStyle name="60% - Accent2 2" xfId="133" xr:uid="{00000000-0005-0000-0000-000084000000}"/>
    <cellStyle name="60% - Accent2 2 2" xfId="134" xr:uid="{00000000-0005-0000-0000-000085000000}"/>
    <cellStyle name="60% - Accent2 2 3" xfId="135" xr:uid="{00000000-0005-0000-0000-000086000000}"/>
    <cellStyle name="60% - Accent2 2 4" xfId="136" xr:uid="{00000000-0005-0000-0000-000087000000}"/>
    <cellStyle name="60% - Accent2 3" xfId="1948" xr:uid="{0A99EBAD-3B05-4FFC-A65C-9DA373C5B8BD}"/>
    <cellStyle name="60% - Accent3" xfId="137" builtinId="40" customBuiltin="1"/>
    <cellStyle name="60% - Accent3 2" xfId="138" xr:uid="{00000000-0005-0000-0000-000089000000}"/>
    <cellStyle name="60% - Accent3 2 2" xfId="139" xr:uid="{00000000-0005-0000-0000-00008A000000}"/>
    <cellStyle name="60% - Accent3 2 3" xfId="140" xr:uid="{00000000-0005-0000-0000-00008B000000}"/>
    <cellStyle name="60% - Accent3 2 4" xfId="141" xr:uid="{00000000-0005-0000-0000-00008C000000}"/>
    <cellStyle name="60% - Accent3 3" xfId="1949" xr:uid="{1562D516-388F-46C6-BE39-7F5D2244D7B8}"/>
    <cellStyle name="60% - Accent4" xfId="142" builtinId="44" customBuiltin="1"/>
    <cellStyle name="60% - Accent4 2" xfId="143" xr:uid="{00000000-0005-0000-0000-00008E000000}"/>
    <cellStyle name="60% - Accent4 2 2" xfId="144" xr:uid="{00000000-0005-0000-0000-00008F000000}"/>
    <cellStyle name="60% - Accent4 2 3" xfId="145" xr:uid="{00000000-0005-0000-0000-000090000000}"/>
    <cellStyle name="60% - Accent4 2 4" xfId="146" xr:uid="{00000000-0005-0000-0000-000091000000}"/>
    <cellStyle name="60% - Accent4 3" xfId="1950" xr:uid="{5B591C13-604D-4680-BC52-61924A935C60}"/>
    <cellStyle name="60% - Accent5" xfId="147" builtinId="48" customBuiltin="1"/>
    <cellStyle name="60% - Accent5 2" xfId="148" xr:uid="{00000000-0005-0000-0000-000093000000}"/>
    <cellStyle name="60% - Accent5 2 2" xfId="149" xr:uid="{00000000-0005-0000-0000-000094000000}"/>
    <cellStyle name="60% - Accent5 2 3" xfId="150" xr:uid="{00000000-0005-0000-0000-000095000000}"/>
    <cellStyle name="60% - Accent5 2 4" xfId="151" xr:uid="{00000000-0005-0000-0000-000096000000}"/>
    <cellStyle name="60% - Accent5 3" xfId="1951" xr:uid="{C4431B95-F2CB-416A-B274-C685C407138C}"/>
    <cellStyle name="60% - Accent6" xfId="152" builtinId="52" customBuiltin="1"/>
    <cellStyle name="60% - Accent6 2" xfId="153" xr:uid="{00000000-0005-0000-0000-000098000000}"/>
    <cellStyle name="60% - Accent6 2 2" xfId="154" xr:uid="{00000000-0005-0000-0000-000099000000}"/>
    <cellStyle name="60% - Accent6 2 3" xfId="155" xr:uid="{00000000-0005-0000-0000-00009A000000}"/>
    <cellStyle name="60% - Accent6 2 4" xfId="156" xr:uid="{00000000-0005-0000-0000-00009B000000}"/>
    <cellStyle name="60% - Accent6 3" xfId="1952" xr:uid="{77986320-431C-43FB-A7F0-61945F27193C}"/>
    <cellStyle name="Accent1" xfId="157" builtinId="29" customBuiltin="1"/>
    <cellStyle name="Accent1 2" xfId="158" xr:uid="{00000000-0005-0000-0000-00009D000000}"/>
    <cellStyle name="Accent1 2 2" xfId="159" xr:uid="{00000000-0005-0000-0000-00009E000000}"/>
    <cellStyle name="Accent1 2 3" xfId="160" xr:uid="{00000000-0005-0000-0000-00009F000000}"/>
    <cellStyle name="Accent1 2 4" xfId="161" xr:uid="{00000000-0005-0000-0000-0000A0000000}"/>
    <cellStyle name="Accent2" xfId="162" builtinId="33" customBuiltin="1"/>
    <cellStyle name="Accent2 2" xfId="163" xr:uid="{00000000-0005-0000-0000-0000A2000000}"/>
    <cellStyle name="Accent2 2 2" xfId="164" xr:uid="{00000000-0005-0000-0000-0000A3000000}"/>
    <cellStyle name="Accent2 2 3" xfId="165" xr:uid="{00000000-0005-0000-0000-0000A4000000}"/>
    <cellStyle name="Accent2 2 4" xfId="166" xr:uid="{00000000-0005-0000-0000-0000A5000000}"/>
    <cellStyle name="Accent3" xfId="167" builtinId="37" customBuiltin="1"/>
    <cellStyle name="Accent3 2" xfId="168" xr:uid="{00000000-0005-0000-0000-0000A7000000}"/>
    <cellStyle name="Accent3 2 2" xfId="169" xr:uid="{00000000-0005-0000-0000-0000A8000000}"/>
    <cellStyle name="Accent3 2 3" xfId="170" xr:uid="{00000000-0005-0000-0000-0000A9000000}"/>
    <cellStyle name="Accent3 2 4" xfId="171" xr:uid="{00000000-0005-0000-0000-0000AA000000}"/>
    <cellStyle name="Accent4" xfId="172" builtinId="41" customBuiltin="1"/>
    <cellStyle name="Accent4 2" xfId="173" xr:uid="{00000000-0005-0000-0000-0000AC000000}"/>
    <cellStyle name="Accent4 2 2" xfId="174" xr:uid="{00000000-0005-0000-0000-0000AD000000}"/>
    <cellStyle name="Accent4 2 3" xfId="175" xr:uid="{00000000-0005-0000-0000-0000AE000000}"/>
    <cellStyle name="Accent4 2 4" xfId="176" xr:uid="{00000000-0005-0000-0000-0000AF000000}"/>
    <cellStyle name="Accent5" xfId="177" builtinId="45" customBuiltin="1"/>
    <cellStyle name="Accent5 2" xfId="178" xr:uid="{00000000-0005-0000-0000-0000B1000000}"/>
    <cellStyle name="Accent6" xfId="179" builtinId="49" customBuiltin="1"/>
    <cellStyle name="Accent6 2" xfId="180" xr:uid="{00000000-0005-0000-0000-0000B3000000}"/>
    <cellStyle name="Accent6 2 2" xfId="181" xr:uid="{00000000-0005-0000-0000-0000B4000000}"/>
    <cellStyle name="Accent6 2 3" xfId="182" xr:uid="{00000000-0005-0000-0000-0000B5000000}"/>
    <cellStyle name="Accent6 2 4" xfId="183" xr:uid="{00000000-0005-0000-0000-0000B6000000}"/>
    <cellStyle name="AccountClassificationTotalRowBalanceCol" xfId="184" xr:uid="{00000000-0005-0000-0000-0000B7000000}"/>
    <cellStyle name="AccountClassificationTotalRowDescCol" xfId="185" xr:uid="{00000000-0005-0000-0000-0000B8000000}"/>
    <cellStyle name="AccountClassificationTotalRowJERefCol" xfId="186" xr:uid="{00000000-0005-0000-0000-0000B9000000}"/>
    <cellStyle name="AccountClassificationTotalRowNameCol" xfId="187" xr:uid="{00000000-0005-0000-0000-0000BA000000}"/>
    <cellStyle name="AccountClassificationTotalRowSpacerCol" xfId="188" xr:uid="{00000000-0005-0000-0000-0000BB000000}"/>
    <cellStyle name="AccountClassificationTotalRowVarPectCol" xfId="189" xr:uid="{00000000-0005-0000-0000-0000BC000000}"/>
    <cellStyle name="AccountClassificationTotalRowWPRefCol" xfId="190" xr:uid="{00000000-0005-0000-0000-0000BD000000}"/>
    <cellStyle name="AccountDetailRowBalanceCol" xfId="191" xr:uid="{00000000-0005-0000-0000-0000BE000000}"/>
    <cellStyle name="AccountDetailRowBalanceColNegative" xfId="192" xr:uid="{00000000-0005-0000-0000-0000BF000000}"/>
    <cellStyle name="AccountDetailRowDescCol" xfId="193" xr:uid="{00000000-0005-0000-0000-0000C0000000}"/>
    <cellStyle name="AccountDetailRowJERefCol" xfId="194" xr:uid="{00000000-0005-0000-0000-0000C1000000}"/>
    <cellStyle name="AccountDetailRowNameCol" xfId="195" xr:uid="{00000000-0005-0000-0000-0000C2000000}"/>
    <cellStyle name="AccountDetailRowSpacerCol" xfId="196" xr:uid="{00000000-0005-0000-0000-0000C3000000}"/>
    <cellStyle name="AccountDetailRowVarPectCol" xfId="197" xr:uid="{00000000-0005-0000-0000-0000C4000000}"/>
    <cellStyle name="AccountDetailRowWPRefCol" xfId="198" xr:uid="{00000000-0005-0000-0000-0000C5000000}"/>
    <cellStyle name="AccountNetIncomeLossRowBalanceCol" xfId="199" xr:uid="{00000000-0005-0000-0000-0000C6000000}"/>
    <cellStyle name="AccountNetIncomeLossRowDescCol" xfId="200" xr:uid="{00000000-0005-0000-0000-0000C7000000}"/>
    <cellStyle name="AccountNetIncomeLossRowJERefCol" xfId="201" xr:uid="{00000000-0005-0000-0000-0000C8000000}"/>
    <cellStyle name="AccountNetIncomeLossRowNameCol" xfId="202" xr:uid="{00000000-0005-0000-0000-0000C9000000}"/>
    <cellStyle name="AccountNetIncomeLossRowSpacerCol" xfId="203" xr:uid="{00000000-0005-0000-0000-0000CA000000}"/>
    <cellStyle name="AccountNetIncomeLossRowWPRefCol" xfId="204" xr:uid="{00000000-0005-0000-0000-0000CB000000}"/>
    <cellStyle name="AccountTotalBalanceCol" xfId="205" xr:uid="{00000000-0005-0000-0000-0000CC000000}"/>
    <cellStyle name="AccountTotalDescCol" xfId="206" xr:uid="{00000000-0005-0000-0000-0000CD000000}"/>
    <cellStyle name="AccountTotalDetailRowBalanceCol" xfId="207" xr:uid="{00000000-0005-0000-0000-0000CE000000}"/>
    <cellStyle name="AccountTotalDetailRowDescCol" xfId="208" xr:uid="{00000000-0005-0000-0000-0000CF000000}"/>
    <cellStyle name="AccountTotalDetailRowJERefCol" xfId="209" xr:uid="{00000000-0005-0000-0000-0000D0000000}"/>
    <cellStyle name="AccountTotalDetailRowNameCol" xfId="210" xr:uid="{00000000-0005-0000-0000-0000D1000000}"/>
    <cellStyle name="AccountTotalDetailRowSpacerCol" xfId="211" xr:uid="{00000000-0005-0000-0000-0000D2000000}"/>
    <cellStyle name="AccountTotalDetailRowVarPectCol" xfId="212" xr:uid="{00000000-0005-0000-0000-0000D3000000}"/>
    <cellStyle name="AccountTotalDetailRowWPRefCol" xfId="213" xr:uid="{00000000-0005-0000-0000-0000D4000000}"/>
    <cellStyle name="AccountTotalJERefCol" xfId="214" xr:uid="{00000000-0005-0000-0000-0000D5000000}"/>
    <cellStyle name="AccountTotalNameCol" xfId="215" xr:uid="{00000000-0005-0000-0000-0000D6000000}"/>
    <cellStyle name="AccountTotalVarPectCol" xfId="216" xr:uid="{00000000-0005-0000-0000-0000D7000000}"/>
    <cellStyle name="AccountTotalWPRefCol" xfId="217" xr:uid="{00000000-0005-0000-0000-0000D8000000}"/>
    <cellStyle name="AccountTypeTotalRowBalanceCol" xfId="218" xr:uid="{00000000-0005-0000-0000-0000D9000000}"/>
    <cellStyle name="AccountTypeTotalRowDescCol" xfId="219" xr:uid="{00000000-0005-0000-0000-0000DA000000}"/>
    <cellStyle name="AccountTypeTotalRowJERefCol" xfId="220" xr:uid="{00000000-0005-0000-0000-0000DB000000}"/>
    <cellStyle name="AccountTypeTotalRowNameCol" xfId="221" xr:uid="{00000000-0005-0000-0000-0000DC000000}"/>
    <cellStyle name="AccountTypeTotalRowSpacerCol" xfId="222" xr:uid="{00000000-0005-0000-0000-0000DD000000}"/>
    <cellStyle name="AccountTypeTotalRowVarPectCol" xfId="223" xr:uid="{00000000-0005-0000-0000-0000DE000000}"/>
    <cellStyle name="AccountTypeTotalRowWPRefCol" xfId="224" xr:uid="{00000000-0005-0000-0000-0000DF000000}"/>
    <cellStyle name="Amount" xfId="225" xr:uid="{00000000-0005-0000-0000-0000E0000000}"/>
    <cellStyle name="Amt_Percent Ctr" xfId="226" xr:uid="{00000000-0005-0000-0000-0000E1000000}"/>
    <cellStyle name="Bad" xfId="227" builtinId="27" customBuiltin="1"/>
    <cellStyle name="Bad 2" xfId="228" xr:uid="{00000000-0005-0000-0000-0000E3000000}"/>
    <cellStyle name="Bad 2 2" xfId="229" xr:uid="{00000000-0005-0000-0000-0000E4000000}"/>
    <cellStyle name="Bad 2 3" xfId="230" xr:uid="{00000000-0005-0000-0000-0000E5000000}"/>
    <cellStyle name="Bad 2 4" xfId="231" xr:uid="{00000000-0005-0000-0000-0000E6000000}"/>
    <cellStyle name="BlankRow" xfId="232" xr:uid="{00000000-0005-0000-0000-0000E7000000}"/>
    <cellStyle name="BlankRowJERefCol" xfId="233" xr:uid="{00000000-0005-0000-0000-0000E8000000}"/>
    <cellStyle name="BlueInt" xfId="1919" xr:uid="{B473BAC9-E499-45A7-AD81-4A0EEE3F33FA}"/>
    <cellStyle name="Calculation" xfId="234" builtinId="22" customBuiltin="1"/>
    <cellStyle name="Calculation 2" xfId="235" xr:uid="{00000000-0005-0000-0000-0000EA000000}"/>
    <cellStyle name="Calculation 2 2" xfId="236" xr:uid="{00000000-0005-0000-0000-0000EB000000}"/>
    <cellStyle name="Calculation 2 3" xfId="237" xr:uid="{00000000-0005-0000-0000-0000EC000000}"/>
    <cellStyle name="Calculation 2 4" xfId="238" xr:uid="{00000000-0005-0000-0000-0000ED000000}"/>
    <cellStyle name="CBF$Number" xfId="239" xr:uid="{00000000-0005-0000-0000-0000EE000000}"/>
    <cellStyle name="CBFFundName" xfId="240" xr:uid="{00000000-0005-0000-0000-0000EF000000}"/>
    <cellStyle name="CBFHeader" xfId="241" xr:uid="{00000000-0005-0000-0000-0000F0000000}"/>
    <cellStyle name="CBFNumber" xfId="242" xr:uid="{00000000-0005-0000-0000-0000F1000000}"/>
    <cellStyle name="CBFSectionTitle" xfId="243" xr:uid="{00000000-0005-0000-0000-0000F2000000}"/>
    <cellStyle name="CBFSectionTotal" xfId="244" xr:uid="{00000000-0005-0000-0000-0000F3000000}"/>
    <cellStyle name="CBFText" xfId="245" xr:uid="{00000000-0005-0000-0000-0000F4000000}"/>
    <cellStyle name="Centered Heading_Saurer balance sheet 98" xfId="1920" xr:uid="{2F98ADF6-5910-492F-8A08-F9D0A665478C}"/>
    <cellStyle name="CenterHead" xfId="246" xr:uid="{00000000-0005-0000-0000-0000F5000000}"/>
    <cellStyle name="Check Cell" xfId="247" builtinId="23" customBuiltin="1"/>
    <cellStyle name="Check Cell 2" xfId="248" xr:uid="{00000000-0005-0000-0000-0000F7000000}"/>
    <cellStyle name="ClassifiedGroupTotalRowBalanceCol" xfId="249" xr:uid="{00000000-0005-0000-0000-0000F8000000}"/>
    <cellStyle name="ClassifiedGroupTotalRowDescCol" xfId="250" xr:uid="{00000000-0005-0000-0000-0000F9000000}"/>
    <cellStyle name="ClassifiedGroupTotalRowJERefCol" xfId="251" xr:uid="{00000000-0005-0000-0000-0000FA000000}"/>
    <cellStyle name="ClassifiedGroupTotalRowNameCol" xfId="252" xr:uid="{00000000-0005-0000-0000-0000FB000000}"/>
    <cellStyle name="ClassifiedGroupTotalRowSpacerCol" xfId="253" xr:uid="{00000000-0005-0000-0000-0000FC000000}"/>
    <cellStyle name="ClassifiedGroupTotalRowVarPectCol" xfId="254" xr:uid="{00000000-0005-0000-0000-0000FD000000}"/>
    <cellStyle name="ClassifiedGroupTotalRowWPRefCol" xfId="255" xr:uid="{00000000-0005-0000-0000-0000FE000000}"/>
    <cellStyle name="Column CtrAcross" xfId="256" xr:uid="{00000000-0005-0000-0000-0000FF000000}"/>
    <cellStyle name="Column_Center" xfId="257" xr:uid="{00000000-0005-0000-0000-000000010000}"/>
    <cellStyle name="ColumnHeader" xfId="258" xr:uid="{00000000-0005-0000-0000-000001010000}"/>
    <cellStyle name="ColumnHeaderRowBalanceCol" xfId="259" xr:uid="{00000000-0005-0000-0000-000002010000}"/>
    <cellStyle name="ColumnHeaderRowBlankCol" xfId="260" xr:uid="{00000000-0005-0000-0000-000003010000}"/>
    <cellStyle name="ColumnHeaderRowCreditCol" xfId="261" xr:uid="{00000000-0005-0000-0000-000004010000}"/>
    <cellStyle name="ColumnHeaderRowDebitCol" xfId="262" xr:uid="{00000000-0005-0000-0000-000005010000}"/>
    <cellStyle name="ColumnHeaderRowDescCol" xfId="263" xr:uid="{00000000-0005-0000-0000-000006010000}"/>
    <cellStyle name="ColumnHeaderRowJERefCol" xfId="264" xr:uid="{00000000-0005-0000-0000-000007010000}"/>
    <cellStyle name="ColumnHeaderRowNameCol" xfId="265" xr:uid="{00000000-0005-0000-0000-000008010000}"/>
    <cellStyle name="ColumnHeaderRowSpacerCol" xfId="266" xr:uid="{00000000-0005-0000-0000-000009010000}"/>
    <cellStyle name="ColumnHeaderRowVarPectCol" xfId="267" xr:uid="{00000000-0005-0000-0000-00000A010000}"/>
    <cellStyle name="ColumnHeaderRowWPRefCol" xfId="268" xr:uid="{00000000-0005-0000-0000-00000B010000}"/>
    <cellStyle name="ColumnMetadataRowBalanceCol" xfId="269" xr:uid="{00000000-0005-0000-0000-00000C010000}"/>
    <cellStyle name="ColumnMetadataRowDescCol" xfId="270" xr:uid="{00000000-0005-0000-0000-00000D010000}"/>
    <cellStyle name="ColumnMetadataRowJERefCol" xfId="271" xr:uid="{00000000-0005-0000-0000-00000E010000}"/>
    <cellStyle name="ColumnMetadataRowNameCol" xfId="272" xr:uid="{00000000-0005-0000-0000-00000F010000}"/>
    <cellStyle name="ColumnMetadataRowSpacerCol" xfId="273" xr:uid="{00000000-0005-0000-0000-000010010000}"/>
    <cellStyle name="ColumnMetadataRowVarPectCol" xfId="274" xr:uid="{00000000-0005-0000-0000-000011010000}"/>
    <cellStyle name="ColumnMetadataRowWPRefCol" xfId="275" xr:uid="{00000000-0005-0000-0000-000012010000}"/>
    <cellStyle name="Comma" xfId="276" builtinId="3"/>
    <cellStyle name="Comma %" xfId="277" xr:uid="{00000000-0005-0000-0000-000014010000}"/>
    <cellStyle name="Comma 0.0" xfId="278" xr:uid="{00000000-0005-0000-0000-000015010000}"/>
    <cellStyle name="Comma 0.00" xfId="279" xr:uid="{00000000-0005-0000-0000-000016010000}"/>
    <cellStyle name="Comma 10" xfId="280" xr:uid="{00000000-0005-0000-0000-000017010000}"/>
    <cellStyle name="Comma 10 2" xfId="281" xr:uid="{00000000-0005-0000-0000-000018010000}"/>
    <cellStyle name="Comma 10 2 2" xfId="282" xr:uid="{00000000-0005-0000-0000-000019010000}"/>
    <cellStyle name="Comma 11" xfId="283" xr:uid="{00000000-0005-0000-0000-00001A010000}"/>
    <cellStyle name="Comma 11 2" xfId="284" xr:uid="{00000000-0005-0000-0000-00001B010000}"/>
    <cellStyle name="Comma 11 3" xfId="285" xr:uid="{00000000-0005-0000-0000-00001C010000}"/>
    <cellStyle name="Comma 12" xfId="286" xr:uid="{00000000-0005-0000-0000-00001D010000}"/>
    <cellStyle name="Comma 13" xfId="287" xr:uid="{00000000-0005-0000-0000-00001E010000}"/>
    <cellStyle name="Comma 13 2" xfId="288" xr:uid="{00000000-0005-0000-0000-00001F010000}"/>
    <cellStyle name="Comma 14" xfId="289" xr:uid="{00000000-0005-0000-0000-000020010000}"/>
    <cellStyle name="Comma 14 2" xfId="290" xr:uid="{00000000-0005-0000-0000-000021010000}"/>
    <cellStyle name="Comma 14 2 2" xfId="291" xr:uid="{00000000-0005-0000-0000-000022010000}"/>
    <cellStyle name="Comma 14 2 2 2" xfId="292" xr:uid="{00000000-0005-0000-0000-000023010000}"/>
    <cellStyle name="Comma 14 2 2 2 2" xfId="293" xr:uid="{00000000-0005-0000-0000-000024010000}"/>
    <cellStyle name="Comma 14 2 2 2 2 2" xfId="2065" xr:uid="{BE744C20-7D71-48C2-9FD8-7E13533DFF3F}"/>
    <cellStyle name="Comma 14 2 2 2 3" xfId="2064" xr:uid="{B0C7D728-9BBE-456D-A98F-58BD1CDB781F}"/>
    <cellStyle name="Comma 14 2 2 3" xfId="294" xr:uid="{00000000-0005-0000-0000-000025010000}"/>
    <cellStyle name="Comma 14 2 2 3 2" xfId="2066" xr:uid="{14CA8F78-C8FB-46F9-A493-708809185F93}"/>
    <cellStyle name="Comma 14 2 2 4" xfId="2063" xr:uid="{777099E7-3AE3-40DE-9ED0-59B57920D7BA}"/>
    <cellStyle name="Comma 14 2 3" xfId="295" xr:uid="{00000000-0005-0000-0000-000026010000}"/>
    <cellStyle name="Comma 14 2 3 2" xfId="296" xr:uid="{00000000-0005-0000-0000-000027010000}"/>
    <cellStyle name="Comma 14 2 3 2 2" xfId="2068" xr:uid="{FB33C752-370B-4788-B72B-9A33825AE112}"/>
    <cellStyle name="Comma 14 2 3 3" xfId="2067" xr:uid="{18282648-446A-4E63-89EB-79FF5FD83687}"/>
    <cellStyle name="Comma 14 2 4" xfId="297" xr:uid="{00000000-0005-0000-0000-000028010000}"/>
    <cellStyle name="Comma 14 2 4 2" xfId="298" xr:uid="{00000000-0005-0000-0000-000029010000}"/>
    <cellStyle name="Comma 14 2 4 2 2" xfId="2070" xr:uid="{AC1DDDFD-BD32-4DDD-84D6-3EE1072DE8B0}"/>
    <cellStyle name="Comma 14 2 4 3" xfId="2069" xr:uid="{A3C3E83E-2451-4074-902D-862142E8645A}"/>
    <cellStyle name="Comma 14 2 5" xfId="299" xr:uid="{00000000-0005-0000-0000-00002A010000}"/>
    <cellStyle name="Comma 14 2 5 2" xfId="2071" xr:uid="{27299D6A-57A0-4EBB-9C43-B148F78BC773}"/>
    <cellStyle name="Comma 14 2 6" xfId="2062" xr:uid="{09CEA4A8-EE12-447F-A9DB-E95554AD31A3}"/>
    <cellStyle name="Comma 14 3" xfId="300" xr:uid="{00000000-0005-0000-0000-00002B010000}"/>
    <cellStyle name="Comma 14 3 2" xfId="301" xr:uid="{00000000-0005-0000-0000-00002C010000}"/>
    <cellStyle name="Comma 14 3 2 2" xfId="302" xr:uid="{00000000-0005-0000-0000-00002D010000}"/>
    <cellStyle name="Comma 14 3 2 2 2" xfId="2074" xr:uid="{D3399A52-9699-49F1-8BFC-26F0ECCDF2B3}"/>
    <cellStyle name="Comma 14 3 2 3" xfId="2073" xr:uid="{2D5220D9-E471-48B9-8F0C-4446C56C59E2}"/>
    <cellStyle name="Comma 14 3 3" xfId="303" xr:uid="{00000000-0005-0000-0000-00002E010000}"/>
    <cellStyle name="Comma 14 3 3 2" xfId="304" xr:uid="{00000000-0005-0000-0000-00002F010000}"/>
    <cellStyle name="Comma 14 3 3 2 2" xfId="2076" xr:uid="{9E36E75A-301F-4AFF-996B-929E0D16E33C}"/>
    <cellStyle name="Comma 14 3 3 3" xfId="2075" xr:uid="{6A6063FD-67AF-4B76-84D3-174938064BD3}"/>
    <cellStyle name="Comma 14 3 4" xfId="305" xr:uid="{00000000-0005-0000-0000-000030010000}"/>
    <cellStyle name="Comma 14 3 4 2" xfId="2077" xr:uid="{610C0FC7-736B-4D63-A765-2B2C5F875D7D}"/>
    <cellStyle name="Comma 14 3 5" xfId="2072" xr:uid="{47155C75-1ACC-4D6A-9811-FFEF6B9DBC5B}"/>
    <cellStyle name="Comma 14 4" xfId="306" xr:uid="{00000000-0005-0000-0000-000031010000}"/>
    <cellStyle name="Comma 14 4 2" xfId="307" xr:uid="{00000000-0005-0000-0000-000032010000}"/>
    <cellStyle name="Comma 14 4 2 2" xfId="308" xr:uid="{00000000-0005-0000-0000-000033010000}"/>
    <cellStyle name="Comma 14 4 2 2 2" xfId="2080" xr:uid="{51B3EDA4-6A57-4858-86ED-914442DD96CA}"/>
    <cellStyle name="Comma 14 4 2 3" xfId="2079" xr:uid="{B823AC87-A187-4695-A74E-2E070F14DF7A}"/>
    <cellStyle name="Comma 14 4 3" xfId="309" xr:uid="{00000000-0005-0000-0000-000034010000}"/>
    <cellStyle name="Comma 14 4 3 2" xfId="2081" xr:uid="{8B929D03-A833-464F-8CAC-A9CCB67DBB20}"/>
    <cellStyle name="Comma 14 4 4" xfId="2078" xr:uid="{F283F9A6-328A-4740-8E19-3903ABEE86D1}"/>
    <cellStyle name="Comma 14 5" xfId="310" xr:uid="{00000000-0005-0000-0000-000035010000}"/>
    <cellStyle name="Comma 14 5 2" xfId="311" xr:uid="{00000000-0005-0000-0000-000036010000}"/>
    <cellStyle name="Comma 14 5 2 2" xfId="2083" xr:uid="{DB4F1CB9-7BFB-4364-AA03-85E1A5B03A19}"/>
    <cellStyle name="Comma 14 5 3" xfId="2082" xr:uid="{F9089312-CADB-4838-8F60-2C56985A2415}"/>
    <cellStyle name="Comma 14 6" xfId="312" xr:uid="{00000000-0005-0000-0000-000037010000}"/>
    <cellStyle name="Comma 14 6 2" xfId="313" xr:uid="{00000000-0005-0000-0000-000038010000}"/>
    <cellStyle name="Comma 14 6 2 2" xfId="2085" xr:uid="{628E2191-09EE-4884-BFD1-51C6BB334054}"/>
    <cellStyle name="Comma 14 6 3" xfId="2084" xr:uid="{8CAF37E5-FBB8-45AA-B508-7499B2B2DCC8}"/>
    <cellStyle name="Comma 14 7" xfId="314" xr:uid="{00000000-0005-0000-0000-000039010000}"/>
    <cellStyle name="Comma 14 7 2" xfId="2086" xr:uid="{6D6A5929-A31F-44CD-9B0F-1968CBFCA458}"/>
    <cellStyle name="Comma 14 8" xfId="2061" xr:uid="{37C197F8-CD3F-4CFB-88A9-264BC0D6B6D9}"/>
    <cellStyle name="Comma 15" xfId="315" xr:uid="{00000000-0005-0000-0000-00003A010000}"/>
    <cellStyle name="Comma 15 2" xfId="316" xr:uid="{00000000-0005-0000-0000-00003B010000}"/>
    <cellStyle name="Comma 15 2 2" xfId="317" xr:uid="{00000000-0005-0000-0000-00003C010000}"/>
    <cellStyle name="Comma 15 2 2 2" xfId="2089" xr:uid="{4C7BFB6F-2D9D-4F18-A951-70D7A53D4259}"/>
    <cellStyle name="Comma 15 2 3" xfId="2088" xr:uid="{CE6494CB-37B5-4BE5-9A56-1ADB97564CB8}"/>
    <cellStyle name="Comma 15 3" xfId="318" xr:uid="{00000000-0005-0000-0000-00003D010000}"/>
    <cellStyle name="Comma 15 3 2" xfId="2090" xr:uid="{9DA98A1E-5C8F-4C27-84E1-2D9170CE2840}"/>
    <cellStyle name="Comma 15 4" xfId="2087" xr:uid="{55188234-CABB-40D2-9F24-E3FC918D15A4}"/>
    <cellStyle name="Comma 16" xfId="319" xr:uid="{00000000-0005-0000-0000-00003E010000}"/>
    <cellStyle name="Comma 16 2" xfId="320" xr:uid="{00000000-0005-0000-0000-00003F010000}"/>
    <cellStyle name="Comma 16 2 2" xfId="321" xr:uid="{00000000-0005-0000-0000-000040010000}"/>
    <cellStyle name="Comma 16 2 2 2" xfId="2093" xr:uid="{F0FDF948-83EC-4EF9-8BE8-EFCFDD38A57E}"/>
    <cellStyle name="Comma 16 2 3" xfId="2092" xr:uid="{AD0E8E37-6BA1-413B-96F6-D64095FC0408}"/>
    <cellStyle name="Comma 16 3" xfId="322" xr:uid="{00000000-0005-0000-0000-000041010000}"/>
    <cellStyle name="Comma 16 3 2" xfId="2094" xr:uid="{914C469F-F643-4B4A-AEA8-24731D4169E7}"/>
    <cellStyle name="Comma 16 4" xfId="2091" xr:uid="{19E020CC-6FE3-4A63-9B15-7F23CB7176AC}"/>
    <cellStyle name="Comma 17" xfId="323" xr:uid="{00000000-0005-0000-0000-000042010000}"/>
    <cellStyle name="Comma 17 2" xfId="324" xr:uid="{00000000-0005-0000-0000-000043010000}"/>
    <cellStyle name="Comma 17 2 2" xfId="325" xr:uid="{00000000-0005-0000-0000-000044010000}"/>
    <cellStyle name="Comma 17 2 2 2" xfId="2097" xr:uid="{AFF95E35-EEC1-46D2-92F5-23B63B4A57CE}"/>
    <cellStyle name="Comma 17 2 3" xfId="2096" xr:uid="{B79CFA64-CEA6-43D1-915C-7D7E7D3A14DF}"/>
    <cellStyle name="Comma 17 3" xfId="326" xr:uid="{00000000-0005-0000-0000-000045010000}"/>
    <cellStyle name="Comma 17 3 2" xfId="2098" xr:uid="{3AAE9A0A-E207-4312-91C4-C8DF6325EEA0}"/>
    <cellStyle name="Comma 17 4" xfId="2095" xr:uid="{39814FB2-1FF2-41A6-A0A4-57967C5AB169}"/>
    <cellStyle name="Comma 18" xfId="327" xr:uid="{00000000-0005-0000-0000-000046010000}"/>
    <cellStyle name="Comma 18 2" xfId="328" xr:uid="{00000000-0005-0000-0000-000047010000}"/>
    <cellStyle name="Comma 18 2 2" xfId="329" xr:uid="{00000000-0005-0000-0000-000048010000}"/>
    <cellStyle name="Comma 18 2 2 2" xfId="2101" xr:uid="{E481BEDE-CAF0-4DFA-8A13-CD06C0D0C1D4}"/>
    <cellStyle name="Comma 18 2 3" xfId="2100" xr:uid="{0C6D176A-41D6-4B04-B999-FC650B766B15}"/>
    <cellStyle name="Comma 18 3" xfId="330" xr:uid="{00000000-0005-0000-0000-000049010000}"/>
    <cellStyle name="Comma 18 3 2" xfId="2102" xr:uid="{C6647417-45FC-43B7-8976-A6C8E46ED811}"/>
    <cellStyle name="Comma 18 4" xfId="2099" xr:uid="{C5B37D63-D598-456A-9866-F9B746499965}"/>
    <cellStyle name="Comma 19" xfId="331" xr:uid="{00000000-0005-0000-0000-00004A010000}"/>
    <cellStyle name="Comma 19 2" xfId="332" xr:uid="{00000000-0005-0000-0000-00004B010000}"/>
    <cellStyle name="Comma 19 2 2" xfId="333" xr:uid="{00000000-0005-0000-0000-00004C010000}"/>
    <cellStyle name="Comma 19 2 2 2" xfId="2105" xr:uid="{1C8260E8-2BDC-4970-8C1D-3F6986F45BEF}"/>
    <cellStyle name="Comma 19 2 3" xfId="2104" xr:uid="{34DFF195-FC59-4758-A705-5A5887C98C13}"/>
    <cellStyle name="Comma 19 3" xfId="334" xr:uid="{00000000-0005-0000-0000-00004D010000}"/>
    <cellStyle name="Comma 19 3 2" xfId="2106" xr:uid="{03205044-AB98-4021-BEE0-D3CB601CB2F4}"/>
    <cellStyle name="Comma 19 4" xfId="2103" xr:uid="{8EE4101B-FCB1-476C-AB9A-4B2A2A36C35A}"/>
    <cellStyle name="Comma 2" xfId="335" xr:uid="{00000000-0005-0000-0000-00004E010000}"/>
    <cellStyle name="Comma 2 10" xfId="336" xr:uid="{00000000-0005-0000-0000-00004F010000}"/>
    <cellStyle name="Comma 2 10 2" xfId="337" xr:uid="{00000000-0005-0000-0000-000050010000}"/>
    <cellStyle name="Comma 2 11" xfId="338" xr:uid="{00000000-0005-0000-0000-000051010000}"/>
    <cellStyle name="Comma 2 12" xfId="339" xr:uid="{00000000-0005-0000-0000-000052010000}"/>
    <cellStyle name="Comma 2 12 2" xfId="340" xr:uid="{00000000-0005-0000-0000-000053010000}"/>
    <cellStyle name="Comma 2 13" xfId="341" xr:uid="{00000000-0005-0000-0000-000054010000}"/>
    <cellStyle name="Comma 2 14" xfId="1953" xr:uid="{F9843686-5B5F-431B-9A3B-9F2072595EDF}"/>
    <cellStyle name="Comma 2 2" xfId="342" xr:uid="{00000000-0005-0000-0000-000055010000}"/>
    <cellStyle name="Comma 2 2 2" xfId="343" xr:uid="{00000000-0005-0000-0000-000056010000}"/>
    <cellStyle name="Comma 2 2 2 2" xfId="344" xr:uid="{00000000-0005-0000-0000-000057010000}"/>
    <cellStyle name="Comma 2 2 2 2 2" xfId="345" xr:uid="{00000000-0005-0000-0000-000058010000}"/>
    <cellStyle name="Comma 2 2 2 3" xfId="346" xr:uid="{00000000-0005-0000-0000-000059010000}"/>
    <cellStyle name="Comma 2 2 2 4" xfId="1955" xr:uid="{26D43C94-310F-4950-9FEB-8619002012D7}"/>
    <cellStyle name="Comma 2 2 3" xfId="347" xr:uid="{00000000-0005-0000-0000-00005A010000}"/>
    <cellStyle name="Comma 2 2 3 2" xfId="348" xr:uid="{00000000-0005-0000-0000-00005B010000}"/>
    <cellStyle name="Comma 2 2 3 3" xfId="1944" xr:uid="{A8BD5424-EE5E-4ABE-829A-342E81CA87DE}"/>
    <cellStyle name="Comma 2 2 4" xfId="349" xr:uid="{00000000-0005-0000-0000-00005C010000}"/>
    <cellStyle name="Comma 2 2 4 2" xfId="350" xr:uid="{00000000-0005-0000-0000-00005D010000}"/>
    <cellStyle name="Comma 2 2 5" xfId="351" xr:uid="{00000000-0005-0000-0000-00005E010000}"/>
    <cellStyle name="Comma 2 2 5 2" xfId="352" xr:uid="{00000000-0005-0000-0000-00005F010000}"/>
    <cellStyle name="Comma 2 2 6" xfId="353" xr:uid="{00000000-0005-0000-0000-000060010000}"/>
    <cellStyle name="Comma 2 2 7" xfId="1954" xr:uid="{05C321C9-2E16-435F-849A-CAD00D647EC6}"/>
    <cellStyle name="Comma 2 3" xfId="354" xr:uid="{00000000-0005-0000-0000-000061010000}"/>
    <cellStyle name="Comma 2 3 2" xfId="355" xr:uid="{00000000-0005-0000-0000-000062010000}"/>
    <cellStyle name="Comma 2 3 2 2" xfId="356" xr:uid="{00000000-0005-0000-0000-000063010000}"/>
    <cellStyle name="Comma 2 3 2 3" xfId="357" xr:uid="{00000000-0005-0000-0000-000064010000}"/>
    <cellStyle name="Comma 2 3 2 4" xfId="1957" xr:uid="{C659D6D2-31BF-4CB9-8F46-9FC592A7E980}"/>
    <cellStyle name="Comma 2 3 3" xfId="358" xr:uid="{00000000-0005-0000-0000-000065010000}"/>
    <cellStyle name="Comma 2 3 3 2" xfId="359" xr:uid="{00000000-0005-0000-0000-000066010000}"/>
    <cellStyle name="Comma 2 3 4" xfId="360" xr:uid="{00000000-0005-0000-0000-000067010000}"/>
    <cellStyle name="Comma 2 3 5" xfId="1956" xr:uid="{4D349BDC-073B-40A5-A93B-B4F0ED83CBFE}"/>
    <cellStyle name="Comma 2 4" xfId="361" xr:uid="{00000000-0005-0000-0000-000068010000}"/>
    <cellStyle name="Comma 2 4 2" xfId="362" xr:uid="{00000000-0005-0000-0000-000069010000}"/>
    <cellStyle name="Comma 2 4 2 2" xfId="363" xr:uid="{00000000-0005-0000-0000-00006A010000}"/>
    <cellStyle name="Comma 2 4 3" xfId="1958" xr:uid="{E3D16236-4C3C-48FC-B65E-D1FE7A96F311}"/>
    <cellStyle name="Comma 2 4 4" xfId="2931" xr:uid="{29B84415-EE4A-4431-8EDE-565A7764D083}"/>
    <cellStyle name="Comma 2 4 5" xfId="2953" xr:uid="{1B87FD45-95D3-46B1-A61F-46EE886E0298}"/>
    <cellStyle name="Comma 2 4 6" xfId="1943" xr:uid="{6DC7E2BA-DDCC-4E41-B4BC-72BE8DB28055}"/>
    <cellStyle name="Comma 2 5" xfId="364" xr:uid="{00000000-0005-0000-0000-00006B010000}"/>
    <cellStyle name="Comma 2 5 2" xfId="365" xr:uid="{00000000-0005-0000-0000-00006C010000}"/>
    <cellStyle name="Comma 2 6" xfId="366" xr:uid="{00000000-0005-0000-0000-00006D010000}"/>
    <cellStyle name="Comma 2 7" xfId="367" xr:uid="{00000000-0005-0000-0000-00006E010000}"/>
    <cellStyle name="Comma 2 8" xfId="368" xr:uid="{00000000-0005-0000-0000-00006F010000}"/>
    <cellStyle name="Comma 2 8 2" xfId="369" xr:uid="{00000000-0005-0000-0000-000070010000}"/>
    <cellStyle name="Comma 2 9" xfId="370" xr:uid="{00000000-0005-0000-0000-000071010000}"/>
    <cellStyle name="Comma 2 9 2" xfId="371" xr:uid="{00000000-0005-0000-0000-000072010000}"/>
    <cellStyle name="Comma 20" xfId="372" xr:uid="{00000000-0005-0000-0000-000073010000}"/>
    <cellStyle name="Comma 20 2" xfId="373" xr:uid="{00000000-0005-0000-0000-000074010000}"/>
    <cellStyle name="Comma 21" xfId="374" xr:uid="{00000000-0005-0000-0000-000075010000}"/>
    <cellStyle name="Comma 21 2" xfId="375" xr:uid="{00000000-0005-0000-0000-000076010000}"/>
    <cellStyle name="Comma 22" xfId="376" xr:uid="{00000000-0005-0000-0000-000077010000}"/>
    <cellStyle name="Comma 23" xfId="377" xr:uid="{00000000-0005-0000-0000-000078010000}"/>
    <cellStyle name="Comma 24" xfId="378" xr:uid="{00000000-0005-0000-0000-000079010000}"/>
    <cellStyle name="Comma 25" xfId="379" xr:uid="{00000000-0005-0000-0000-00007A010000}"/>
    <cellStyle name="Comma 26" xfId="380" xr:uid="{00000000-0005-0000-0000-00007B010000}"/>
    <cellStyle name="Comma 27" xfId="381" xr:uid="{00000000-0005-0000-0000-00007C010000}"/>
    <cellStyle name="Comma 28" xfId="382" xr:uid="{00000000-0005-0000-0000-00007D010000}"/>
    <cellStyle name="Comma 29" xfId="1916" xr:uid="{D2014814-B0A5-4CA9-A1F4-EA8B627D89DA}"/>
    <cellStyle name="Comma 29 2" xfId="1945" xr:uid="{48E1512A-7867-478F-83EA-E8405217E389}"/>
    <cellStyle name="Comma 3" xfId="383" xr:uid="{00000000-0005-0000-0000-00007E010000}"/>
    <cellStyle name="Comma 3 2" xfId="384" xr:uid="{00000000-0005-0000-0000-00007F010000}"/>
    <cellStyle name="Comma 3 2 2" xfId="385" xr:uid="{00000000-0005-0000-0000-000080010000}"/>
    <cellStyle name="Comma 3 2 2 2" xfId="386" xr:uid="{00000000-0005-0000-0000-000081010000}"/>
    <cellStyle name="Comma 3 2 3" xfId="387" xr:uid="{00000000-0005-0000-0000-000082010000}"/>
    <cellStyle name="Comma 3 2 3 2" xfId="388" xr:uid="{00000000-0005-0000-0000-000083010000}"/>
    <cellStyle name="Comma 3 2 4" xfId="389" xr:uid="{00000000-0005-0000-0000-000084010000}"/>
    <cellStyle name="Comma 3 2 4 2" xfId="390" xr:uid="{00000000-0005-0000-0000-000085010000}"/>
    <cellStyle name="Comma 3 2 5" xfId="391" xr:uid="{00000000-0005-0000-0000-000086010000}"/>
    <cellStyle name="Comma 3 2 5 2" xfId="392" xr:uid="{00000000-0005-0000-0000-000087010000}"/>
    <cellStyle name="Comma 3 2 6" xfId="393" xr:uid="{00000000-0005-0000-0000-000088010000}"/>
    <cellStyle name="Comma 3 2 7" xfId="394" xr:uid="{00000000-0005-0000-0000-000089010000}"/>
    <cellStyle name="Comma 3 2 8" xfId="395" xr:uid="{00000000-0005-0000-0000-00008A010000}"/>
    <cellStyle name="Comma 3 3" xfId="396" xr:uid="{00000000-0005-0000-0000-00008B010000}"/>
    <cellStyle name="Comma 3 3 2" xfId="397" xr:uid="{00000000-0005-0000-0000-00008C010000}"/>
    <cellStyle name="Comma 3 3 3" xfId="398" xr:uid="{00000000-0005-0000-0000-00008D010000}"/>
    <cellStyle name="Comma 3 3 3 2" xfId="399" xr:uid="{00000000-0005-0000-0000-00008E010000}"/>
    <cellStyle name="Comma 3 4" xfId="400" xr:uid="{00000000-0005-0000-0000-00008F010000}"/>
    <cellStyle name="Comma 3 4 2" xfId="401" xr:uid="{00000000-0005-0000-0000-000090010000}"/>
    <cellStyle name="Comma 3 5" xfId="402" xr:uid="{00000000-0005-0000-0000-000091010000}"/>
    <cellStyle name="Comma 3 6" xfId="403" xr:uid="{00000000-0005-0000-0000-000092010000}"/>
    <cellStyle name="Comma 3 6 2" xfId="404" xr:uid="{00000000-0005-0000-0000-000093010000}"/>
    <cellStyle name="Comma 3 7" xfId="405" xr:uid="{00000000-0005-0000-0000-000094010000}"/>
    <cellStyle name="Comma 3 7 2" xfId="2107" xr:uid="{B29BBF9C-0356-4182-81E3-4881E984C69C}"/>
    <cellStyle name="Comma 3 8" xfId="406" xr:uid="{00000000-0005-0000-0000-000095010000}"/>
    <cellStyle name="Comma 3 9" xfId="1959" xr:uid="{ED6C9409-DAC7-46F3-B943-889430BBAF86}"/>
    <cellStyle name="Comma 30" xfId="1931" xr:uid="{4DCE5678-AD70-46E9-93E9-798C2EE718C8}"/>
    <cellStyle name="Comma 30 2" xfId="1988" xr:uid="{C99046E9-F263-4E15-AD73-94C66EDC1563}"/>
    <cellStyle name="Comma 31" xfId="1933" xr:uid="{94F32F04-3913-4953-8016-7B6928E83AD6}"/>
    <cellStyle name="Comma 31 2" xfId="2917" xr:uid="{E83D8D74-9A87-4AF1-8A1C-0ABD7F4DCF4D}"/>
    <cellStyle name="Comma 32" xfId="1937" xr:uid="{D74FB386-7E9B-4800-894A-9D52B00E0B5E}"/>
    <cellStyle name="Comma 4" xfId="407" xr:uid="{00000000-0005-0000-0000-000096010000}"/>
    <cellStyle name="Comma 4 2" xfId="408" xr:uid="{00000000-0005-0000-0000-000097010000}"/>
    <cellStyle name="Comma 4 2 2" xfId="409" xr:uid="{00000000-0005-0000-0000-000098010000}"/>
    <cellStyle name="Comma 4 2 3" xfId="410" xr:uid="{00000000-0005-0000-0000-000099010000}"/>
    <cellStyle name="Comma 4 2 3 2" xfId="2884" xr:uid="{0200C56F-6124-4AA1-B41C-209C1C87BF65}"/>
    <cellStyle name="Comma 4 3" xfId="411" xr:uid="{00000000-0005-0000-0000-00009A010000}"/>
    <cellStyle name="Comma 4 3 2" xfId="412" xr:uid="{00000000-0005-0000-0000-00009B010000}"/>
    <cellStyle name="Comma 4 3 2 2" xfId="413" xr:uid="{00000000-0005-0000-0000-00009C010000}"/>
    <cellStyle name="Comma 4 3 2 2 2" xfId="414" xr:uid="{00000000-0005-0000-0000-00009D010000}"/>
    <cellStyle name="Comma 4 3 2 2 2 2" xfId="2110" xr:uid="{34221EC9-ED8C-48C2-8992-F73DEEBB2BCA}"/>
    <cellStyle name="Comma 4 3 2 2 3" xfId="2109" xr:uid="{2BB7EF05-1829-48D8-AAFA-799F3B01CBBA}"/>
    <cellStyle name="Comma 4 3 2 3" xfId="415" xr:uid="{00000000-0005-0000-0000-00009E010000}"/>
    <cellStyle name="Comma 4 3 2 3 2" xfId="2111" xr:uid="{1DDBDCC7-FC3D-4CEB-B5A4-D44DDC6EB658}"/>
    <cellStyle name="Comma 4 3 2 4" xfId="2108" xr:uid="{F5CB8A3D-2C5F-42CF-B9A2-FEBED01E6B05}"/>
    <cellStyle name="Comma 4 3 3" xfId="416" xr:uid="{00000000-0005-0000-0000-00009F010000}"/>
    <cellStyle name="Comma 4 4" xfId="417" xr:uid="{00000000-0005-0000-0000-0000A0010000}"/>
    <cellStyle name="Comma 4 5" xfId="418" xr:uid="{00000000-0005-0000-0000-0000A1010000}"/>
    <cellStyle name="Comma 4 5 2" xfId="419" xr:uid="{00000000-0005-0000-0000-0000A2010000}"/>
    <cellStyle name="Comma 4 5 2 2" xfId="2113" xr:uid="{FB1B8939-1B4F-4378-AD50-51D088ECAB60}"/>
    <cellStyle name="Comma 4 5 3" xfId="2112" xr:uid="{439A8961-056C-451B-8D20-07722842C8AA}"/>
    <cellStyle name="Comma 4 6" xfId="420" xr:uid="{00000000-0005-0000-0000-0000A3010000}"/>
    <cellStyle name="Comma 4 7" xfId="1960" xr:uid="{B897C673-F805-476A-BAD4-E832DAA10164}"/>
    <cellStyle name="Comma 4 8" xfId="2912" xr:uid="{4B06A72D-CCDF-43E2-B8C5-536F8F4EEA4A}"/>
    <cellStyle name="Comma 4 9" xfId="2938" xr:uid="{B8F4B999-660E-447E-8CA6-FE11EC391DBB}"/>
    <cellStyle name="Comma 5" xfId="421" xr:uid="{00000000-0005-0000-0000-0000A4010000}"/>
    <cellStyle name="Comma 5 2" xfId="422" xr:uid="{00000000-0005-0000-0000-0000A5010000}"/>
    <cellStyle name="Comma 5 2 2" xfId="423" xr:uid="{00000000-0005-0000-0000-0000A6010000}"/>
    <cellStyle name="Comma 5 2 2 2" xfId="424" xr:uid="{00000000-0005-0000-0000-0000A7010000}"/>
    <cellStyle name="Comma 5 2 2 2 2" xfId="2902" xr:uid="{77A27587-B7CF-474C-81BD-6FFDC641330D}"/>
    <cellStyle name="Comma 5 2 3" xfId="425" xr:uid="{00000000-0005-0000-0000-0000A8010000}"/>
    <cellStyle name="Comma 5 2 3 2" xfId="2890" xr:uid="{C863E76E-2456-4CD5-948E-FDBD22103AF8}"/>
    <cellStyle name="Comma 5 2 4" xfId="426" xr:uid="{00000000-0005-0000-0000-0000A9010000}"/>
    <cellStyle name="Comma 5 2 5" xfId="2923" xr:uid="{594D4630-BCF4-4BFA-A0CE-B0E1B6D5DCF8}"/>
    <cellStyle name="Comma 5 2 6" xfId="2944" xr:uid="{F89D43B3-9578-4B85-BA1B-584BE5564860}"/>
    <cellStyle name="Comma 5 3" xfId="427" xr:uid="{00000000-0005-0000-0000-0000AA010000}"/>
    <cellStyle name="Comma 5 3 2" xfId="428" xr:uid="{00000000-0005-0000-0000-0000AB010000}"/>
    <cellStyle name="Comma 5 3 3" xfId="429" xr:uid="{00000000-0005-0000-0000-0000AC010000}"/>
    <cellStyle name="Comma 5 4" xfId="430" xr:uid="{00000000-0005-0000-0000-0000AD010000}"/>
    <cellStyle name="Comma 5 5" xfId="431" xr:uid="{00000000-0005-0000-0000-0000AE010000}"/>
    <cellStyle name="Comma 5 5 2" xfId="432" xr:uid="{00000000-0005-0000-0000-0000AF010000}"/>
    <cellStyle name="Comma 5 6" xfId="433" xr:uid="{00000000-0005-0000-0000-0000B0010000}"/>
    <cellStyle name="Comma 5 7" xfId="1961" xr:uid="{EE9AABF9-6E5C-4CC2-AAA5-A616FE21B428}"/>
    <cellStyle name="Comma 6" xfId="434" xr:uid="{00000000-0005-0000-0000-0000B1010000}"/>
    <cellStyle name="Comma 6 10" xfId="1962" xr:uid="{848A7CD9-7E46-4E8A-BEE3-9B2A1AB12641}"/>
    <cellStyle name="Comma 6 11" xfId="2114" xr:uid="{3E399022-B01F-45C9-8B9F-EC8F7CE8A4FD}"/>
    <cellStyle name="Comma 6 12" xfId="2925" xr:uid="{7D74613C-D193-42F8-907A-536BFA4795FC}"/>
    <cellStyle name="Comma 6 13" xfId="2946" xr:uid="{765B13F0-488A-40E0-B082-6B416D9E786F}"/>
    <cellStyle name="Comma 6 2" xfId="435" xr:uid="{00000000-0005-0000-0000-0000B2010000}"/>
    <cellStyle name="Comma 6 2 2" xfId="436" xr:uid="{00000000-0005-0000-0000-0000B3010000}"/>
    <cellStyle name="Comma 6 2 2 2" xfId="437" xr:uid="{00000000-0005-0000-0000-0000B4010000}"/>
    <cellStyle name="Comma 6 2 3" xfId="438" xr:uid="{00000000-0005-0000-0000-0000B5010000}"/>
    <cellStyle name="Comma 6 2 4" xfId="439" xr:uid="{00000000-0005-0000-0000-0000B6010000}"/>
    <cellStyle name="Comma 6 2 4 2" xfId="2116" xr:uid="{CEABE865-ACB9-45E2-A97F-E18F33F19916}"/>
    <cellStyle name="Comma 6 2 5" xfId="440" xr:uid="{00000000-0005-0000-0000-0000B7010000}"/>
    <cellStyle name="Comma 6 2 5 2" xfId="2117" xr:uid="{1A37A99B-ACF0-418E-BF61-31E6AF82D03D}"/>
    <cellStyle name="Comma 6 2 6" xfId="2115" xr:uid="{5C281367-0358-4F50-8C29-16A2A6FB59C8}"/>
    <cellStyle name="Comma 6 3" xfId="441" xr:uid="{00000000-0005-0000-0000-0000B8010000}"/>
    <cellStyle name="Comma 6 3 2" xfId="442" xr:uid="{00000000-0005-0000-0000-0000B9010000}"/>
    <cellStyle name="Comma 6 3 2 2" xfId="443" xr:uid="{00000000-0005-0000-0000-0000BA010000}"/>
    <cellStyle name="Comma 6 4" xfId="444" xr:uid="{00000000-0005-0000-0000-0000BB010000}"/>
    <cellStyle name="Comma 6 5" xfId="445" xr:uid="{00000000-0005-0000-0000-0000BC010000}"/>
    <cellStyle name="Comma 6 5 2" xfId="446" xr:uid="{00000000-0005-0000-0000-0000BD010000}"/>
    <cellStyle name="Comma 6 6" xfId="447" xr:uid="{00000000-0005-0000-0000-0000BE010000}"/>
    <cellStyle name="Comma 6 7" xfId="448" xr:uid="{00000000-0005-0000-0000-0000BF010000}"/>
    <cellStyle name="Comma 6 8" xfId="449" xr:uid="{00000000-0005-0000-0000-0000C0010000}"/>
    <cellStyle name="Comma 6 8 2" xfId="2118" xr:uid="{8DFF5168-47EA-4466-8417-892A38C846D8}"/>
    <cellStyle name="Comma 6 9" xfId="450" xr:uid="{00000000-0005-0000-0000-0000C1010000}"/>
    <cellStyle name="Comma 6 9 2" xfId="2119" xr:uid="{B1244455-AC88-498F-88C6-7FA4C61AC0B2}"/>
    <cellStyle name="Comma 7" xfId="451" xr:uid="{00000000-0005-0000-0000-0000C2010000}"/>
    <cellStyle name="Comma 7 2" xfId="452" xr:uid="{00000000-0005-0000-0000-0000C3010000}"/>
    <cellStyle name="Comma 7 2 2" xfId="453" xr:uid="{00000000-0005-0000-0000-0000C4010000}"/>
    <cellStyle name="Comma 7 2 2 2" xfId="2905" xr:uid="{72086AC2-28A5-4DC3-B794-A09D54EA2439}"/>
    <cellStyle name="Comma 7 3" xfId="454" xr:uid="{00000000-0005-0000-0000-0000C5010000}"/>
    <cellStyle name="Comma 7 4" xfId="455" xr:uid="{00000000-0005-0000-0000-0000C6010000}"/>
    <cellStyle name="Comma 7 4 2" xfId="2893" xr:uid="{2C66D222-06D6-45EE-8167-69C612E4EEAB}"/>
    <cellStyle name="Comma 7 5" xfId="1963" xr:uid="{B0FA89D3-3F3F-46F2-A98B-72BB867A03E5}"/>
    <cellStyle name="Comma 7 6" xfId="2927" xr:uid="{0F2C6E7E-FD55-4FD2-9878-DC18CA640694}"/>
    <cellStyle name="Comma 7 7" xfId="2948" xr:uid="{3D60902C-C66B-45A1-BAB5-7C2696E5E26A}"/>
    <cellStyle name="Comma 8" xfId="456" xr:uid="{00000000-0005-0000-0000-0000C7010000}"/>
    <cellStyle name="Comma 8 2" xfId="457" xr:uid="{00000000-0005-0000-0000-0000C8010000}"/>
    <cellStyle name="Comma 8 2 2" xfId="458" xr:uid="{00000000-0005-0000-0000-0000C9010000}"/>
    <cellStyle name="Comma 8 2 2 2" xfId="459" xr:uid="{00000000-0005-0000-0000-0000CA010000}"/>
    <cellStyle name="Comma 8 2 2 2 2" xfId="460" xr:uid="{00000000-0005-0000-0000-0000CB010000}"/>
    <cellStyle name="Comma 8 2 2 2 2 2" xfId="461" xr:uid="{00000000-0005-0000-0000-0000CC010000}"/>
    <cellStyle name="Comma 8 2 2 2 2 2 2" xfId="2124" xr:uid="{C3843E6F-911F-4472-899D-EEF3E56F888F}"/>
    <cellStyle name="Comma 8 2 2 2 2 3" xfId="2123" xr:uid="{BC6071B8-0DEF-4293-896F-328C6E768437}"/>
    <cellStyle name="Comma 8 2 2 2 3" xfId="462" xr:uid="{00000000-0005-0000-0000-0000CD010000}"/>
    <cellStyle name="Comma 8 2 2 2 3 2" xfId="2125" xr:uid="{99C710F3-585F-40BA-AF22-D0A62E718A32}"/>
    <cellStyle name="Comma 8 2 2 2 4" xfId="2122" xr:uid="{F3EB37AC-9539-42ED-8686-B7AA03352D17}"/>
    <cellStyle name="Comma 8 2 2 3" xfId="463" xr:uid="{00000000-0005-0000-0000-0000CE010000}"/>
    <cellStyle name="Comma 8 2 2 3 2" xfId="464" xr:uid="{00000000-0005-0000-0000-0000CF010000}"/>
    <cellStyle name="Comma 8 2 2 3 2 2" xfId="2127" xr:uid="{D9AA91F1-2CE9-44FB-AFEA-9DBF609260C1}"/>
    <cellStyle name="Comma 8 2 2 3 3" xfId="2126" xr:uid="{1DF5CEFD-F27E-4C95-BD3C-A1278276D3D6}"/>
    <cellStyle name="Comma 8 2 2 4" xfId="465" xr:uid="{00000000-0005-0000-0000-0000D0010000}"/>
    <cellStyle name="Comma 8 2 2 4 2" xfId="466" xr:uid="{00000000-0005-0000-0000-0000D1010000}"/>
    <cellStyle name="Comma 8 2 2 4 2 2" xfId="2129" xr:uid="{7BFF8079-828D-4387-BB1A-982C1B1DB9FE}"/>
    <cellStyle name="Comma 8 2 2 4 3" xfId="2128" xr:uid="{5FDD0B80-D439-4BC4-81FD-D639162F880B}"/>
    <cellStyle name="Comma 8 2 2 5" xfId="467" xr:uid="{00000000-0005-0000-0000-0000D2010000}"/>
    <cellStyle name="Comma 8 2 2 5 2" xfId="2130" xr:uid="{1D9C0541-3762-489A-93F2-344D9437A197}"/>
    <cellStyle name="Comma 8 2 2 6" xfId="2121" xr:uid="{7DD050B7-6207-470B-8555-9529D2B97935}"/>
    <cellStyle name="Comma 8 2 3" xfId="468" xr:uid="{00000000-0005-0000-0000-0000D3010000}"/>
    <cellStyle name="Comma 8 2 3 2" xfId="469" xr:uid="{00000000-0005-0000-0000-0000D4010000}"/>
    <cellStyle name="Comma 8 2 3 2 2" xfId="470" xr:uid="{00000000-0005-0000-0000-0000D5010000}"/>
    <cellStyle name="Comma 8 2 3 2 2 2" xfId="2133" xr:uid="{C1E7F4F8-C67D-4F77-B00B-A4CD2DDF38A7}"/>
    <cellStyle name="Comma 8 2 3 2 3" xfId="2132" xr:uid="{EAD0238F-4BE0-4E6A-A2D2-4B0CB04608D3}"/>
    <cellStyle name="Comma 8 2 3 3" xfId="471" xr:uid="{00000000-0005-0000-0000-0000D6010000}"/>
    <cellStyle name="Comma 8 2 3 3 2" xfId="472" xr:uid="{00000000-0005-0000-0000-0000D7010000}"/>
    <cellStyle name="Comma 8 2 3 3 2 2" xfId="2135" xr:uid="{4C49718B-24FB-41B5-AD44-FA5B0FDE1C4D}"/>
    <cellStyle name="Comma 8 2 3 3 3" xfId="2134" xr:uid="{E1B2FF27-D14E-4F05-888F-31419170E693}"/>
    <cellStyle name="Comma 8 2 3 4" xfId="473" xr:uid="{00000000-0005-0000-0000-0000D8010000}"/>
    <cellStyle name="Comma 8 2 3 4 2" xfId="2136" xr:uid="{14504D00-5E9A-4D91-A512-7C403BA23089}"/>
    <cellStyle name="Comma 8 2 3 5" xfId="2131" xr:uid="{8E6DA059-A314-4DD4-A7B8-FE08F9356136}"/>
    <cellStyle name="Comma 8 2 4" xfId="474" xr:uid="{00000000-0005-0000-0000-0000D9010000}"/>
    <cellStyle name="Comma 8 2 4 2" xfId="475" xr:uid="{00000000-0005-0000-0000-0000DA010000}"/>
    <cellStyle name="Comma 8 2 4 2 2" xfId="476" xr:uid="{00000000-0005-0000-0000-0000DB010000}"/>
    <cellStyle name="Comma 8 2 4 2 2 2" xfId="2139" xr:uid="{6B008096-48A3-42C0-81AF-5E43543CEB87}"/>
    <cellStyle name="Comma 8 2 4 2 3" xfId="2138" xr:uid="{8F687270-3B5D-43A0-8B67-B6173C97DA54}"/>
    <cellStyle name="Comma 8 2 4 3" xfId="477" xr:uid="{00000000-0005-0000-0000-0000DC010000}"/>
    <cellStyle name="Comma 8 2 4 3 2" xfId="2140" xr:uid="{CA232FBB-B74F-4D4D-A8CB-8CFFC86B5068}"/>
    <cellStyle name="Comma 8 2 4 4" xfId="2137" xr:uid="{C4DE5498-85AF-4A4C-BF09-38EEEF0EA2B2}"/>
    <cellStyle name="Comma 8 2 5" xfId="478" xr:uid="{00000000-0005-0000-0000-0000DD010000}"/>
    <cellStyle name="Comma 8 2 5 2" xfId="479" xr:uid="{00000000-0005-0000-0000-0000DE010000}"/>
    <cellStyle name="Comma 8 2 5 2 2" xfId="480" xr:uid="{00000000-0005-0000-0000-0000DF010000}"/>
    <cellStyle name="Comma 8 2 5 2 2 2" xfId="2143" xr:uid="{64828655-77AE-4054-A0A8-62B2EE38D40B}"/>
    <cellStyle name="Comma 8 2 5 2 3" xfId="2142" xr:uid="{A31A7D4D-CFFE-4E08-90FC-D055EB1E193A}"/>
    <cellStyle name="Comma 8 2 5 3" xfId="481" xr:uid="{00000000-0005-0000-0000-0000E0010000}"/>
    <cellStyle name="Comma 8 2 5 3 2" xfId="2144" xr:uid="{67DE00DB-0C2E-41C1-97E5-25DD2EE5B6B2}"/>
    <cellStyle name="Comma 8 2 5 4" xfId="2141" xr:uid="{B91623D9-7766-4B73-B7F1-656FF0D288CA}"/>
    <cellStyle name="Comma 8 2 6" xfId="482" xr:uid="{00000000-0005-0000-0000-0000E1010000}"/>
    <cellStyle name="Comma 8 2 6 2" xfId="483" xr:uid="{00000000-0005-0000-0000-0000E2010000}"/>
    <cellStyle name="Comma 8 2 6 2 2" xfId="2146" xr:uid="{2F2FF3B9-5C3B-4F18-BB4E-0332C726C731}"/>
    <cellStyle name="Comma 8 2 6 3" xfId="2145" xr:uid="{423DAC08-1CAF-4060-AA9A-1F8622A1A03C}"/>
    <cellStyle name="Comma 8 2 7" xfId="484" xr:uid="{00000000-0005-0000-0000-0000E3010000}"/>
    <cellStyle name="Comma 8 2 7 2" xfId="485" xr:uid="{00000000-0005-0000-0000-0000E4010000}"/>
    <cellStyle name="Comma 8 2 7 2 2" xfId="2148" xr:uid="{3EF26F66-AA6C-4A3D-958D-E605E780E308}"/>
    <cellStyle name="Comma 8 2 7 3" xfId="2147" xr:uid="{ECB2D5E3-88B1-4D9F-B6F5-B0307EE1F3D3}"/>
    <cellStyle name="Comma 8 2 8" xfId="486" xr:uid="{00000000-0005-0000-0000-0000E5010000}"/>
    <cellStyle name="Comma 8 2 8 2" xfId="2149" xr:uid="{2ACE3CC5-264C-4B6E-B247-1B4146646EA9}"/>
    <cellStyle name="Comma 8 2 9" xfId="2120" xr:uid="{E508414A-DD0B-4A07-9CA2-BCBB8DF73E10}"/>
    <cellStyle name="Comma 8 3" xfId="487" xr:uid="{00000000-0005-0000-0000-0000E6010000}"/>
    <cellStyle name="Comma 8 3 2" xfId="488" xr:uid="{00000000-0005-0000-0000-0000E7010000}"/>
    <cellStyle name="Comma 8 3 2 2" xfId="489" xr:uid="{00000000-0005-0000-0000-0000E8010000}"/>
    <cellStyle name="Comma 8 3 2 2 2" xfId="490" xr:uid="{00000000-0005-0000-0000-0000E9010000}"/>
    <cellStyle name="Comma 8 3 2 2 2 2" xfId="491" xr:uid="{00000000-0005-0000-0000-0000EA010000}"/>
    <cellStyle name="Comma 8 3 2 2 2 2 2" xfId="2154" xr:uid="{7C59A772-4D07-4A33-972B-ECE313CE7752}"/>
    <cellStyle name="Comma 8 3 2 2 2 3" xfId="2153" xr:uid="{66BB7537-360A-4DBD-AE13-517174691A55}"/>
    <cellStyle name="Comma 8 3 2 2 3" xfId="492" xr:uid="{00000000-0005-0000-0000-0000EB010000}"/>
    <cellStyle name="Comma 8 3 2 2 3 2" xfId="2155" xr:uid="{61BC7796-1055-4F0C-996D-85B61C306FF1}"/>
    <cellStyle name="Comma 8 3 2 2 4" xfId="2152" xr:uid="{C719B45A-DA7E-416E-A2EA-24CFD87C50CE}"/>
    <cellStyle name="Comma 8 3 2 3" xfId="493" xr:uid="{00000000-0005-0000-0000-0000EC010000}"/>
    <cellStyle name="Comma 8 3 2 3 2" xfId="494" xr:uid="{00000000-0005-0000-0000-0000ED010000}"/>
    <cellStyle name="Comma 8 3 2 3 2 2" xfId="2157" xr:uid="{C60C5A1C-9F80-4611-8A75-96AA96862CC6}"/>
    <cellStyle name="Comma 8 3 2 3 3" xfId="2156" xr:uid="{9A0AFDE6-B1CC-4735-BD77-F285AA255346}"/>
    <cellStyle name="Comma 8 3 2 4" xfId="495" xr:uid="{00000000-0005-0000-0000-0000EE010000}"/>
    <cellStyle name="Comma 8 3 2 4 2" xfId="496" xr:uid="{00000000-0005-0000-0000-0000EF010000}"/>
    <cellStyle name="Comma 8 3 2 4 2 2" xfId="2159" xr:uid="{9BCBBDDD-5541-4F46-B6C8-2A7A78EDA0DB}"/>
    <cellStyle name="Comma 8 3 2 4 3" xfId="2158" xr:uid="{AF1B4284-363D-49AE-84CD-41E30580C00D}"/>
    <cellStyle name="Comma 8 3 2 5" xfId="497" xr:uid="{00000000-0005-0000-0000-0000F0010000}"/>
    <cellStyle name="Comma 8 3 2 5 2" xfId="2160" xr:uid="{B3ECA984-CC4E-49C6-AA8C-149573B3C617}"/>
    <cellStyle name="Comma 8 3 2 6" xfId="2151" xr:uid="{D757DDD2-60C3-46EA-B0F1-0BEC110AC567}"/>
    <cellStyle name="Comma 8 3 3" xfId="498" xr:uid="{00000000-0005-0000-0000-0000F1010000}"/>
    <cellStyle name="Comma 8 3 3 2" xfId="499" xr:uid="{00000000-0005-0000-0000-0000F2010000}"/>
    <cellStyle name="Comma 8 3 3 2 2" xfId="500" xr:uid="{00000000-0005-0000-0000-0000F3010000}"/>
    <cellStyle name="Comma 8 3 3 2 2 2" xfId="2163" xr:uid="{6345E9FB-10F6-41B7-9933-6E81181293FF}"/>
    <cellStyle name="Comma 8 3 3 2 3" xfId="2162" xr:uid="{E14AD823-C844-4463-A558-569D41A4D752}"/>
    <cellStyle name="Comma 8 3 3 3" xfId="501" xr:uid="{00000000-0005-0000-0000-0000F4010000}"/>
    <cellStyle name="Comma 8 3 3 3 2" xfId="502" xr:uid="{00000000-0005-0000-0000-0000F5010000}"/>
    <cellStyle name="Comma 8 3 3 3 2 2" xfId="2165" xr:uid="{37F9EA47-0A60-4DBD-9ABD-84185E3222C3}"/>
    <cellStyle name="Comma 8 3 3 3 3" xfId="2164" xr:uid="{183498FE-7595-4F06-B5C6-70CBD8DCB0D2}"/>
    <cellStyle name="Comma 8 3 3 4" xfId="503" xr:uid="{00000000-0005-0000-0000-0000F6010000}"/>
    <cellStyle name="Comma 8 3 3 4 2" xfId="2166" xr:uid="{3FA50390-F7C9-4EDF-AB2E-273517E96495}"/>
    <cellStyle name="Comma 8 3 3 5" xfId="2161" xr:uid="{E3C02333-88E8-4D52-9037-8D389B194BC9}"/>
    <cellStyle name="Comma 8 3 4" xfId="504" xr:uid="{00000000-0005-0000-0000-0000F7010000}"/>
    <cellStyle name="Comma 8 3 4 2" xfId="505" xr:uid="{00000000-0005-0000-0000-0000F8010000}"/>
    <cellStyle name="Comma 8 3 4 2 2" xfId="506" xr:uid="{00000000-0005-0000-0000-0000F9010000}"/>
    <cellStyle name="Comma 8 3 4 2 2 2" xfId="2169" xr:uid="{4C933058-30E8-43E6-93F5-296D374AE5FA}"/>
    <cellStyle name="Comma 8 3 4 2 3" xfId="2168" xr:uid="{E536BCCC-06C6-454C-A09E-A0E6567D3E5A}"/>
    <cellStyle name="Comma 8 3 4 3" xfId="507" xr:uid="{00000000-0005-0000-0000-0000FA010000}"/>
    <cellStyle name="Comma 8 3 4 3 2" xfId="2170" xr:uid="{DD8023C8-E627-4F0C-A7B2-F1D5B26A4EEF}"/>
    <cellStyle name="Comma 8 3 4 4" xfId="2167" xr:uid="{077E91CA-69FA-42B8-9AD1-73F32F7BF60F}"/>
    <cellStyle name="Comma 8 3 5" xfId="508" xr:uid="{00000000-0005-0000-0000-0000FB010000}"/>
    <cellStyle name="Comma 8 3 5 2" xfId="509" xr:uid="{00000000-0005-0000-0000-0000FC010000}"/>
    <cellStyle name="Comma 8 3 5 2 2" xfId="2172" xr:uid="{AE0CC2A7-3E93-4DC4-9A04-B16A1E8DAAEB}"/>
    <cellStyle name="Comma 8 3 5 3" xfId="2171" xr:uid="{91F62CA8-DF5C-4CC6-9139-46AE12F1AF32}"/>
    <cellStyle name="Comma 8 3 6" xfId="510" xr:uid="{00000000-0005-0000-0000-0000FD010000}"/>
    <cellStyle name="Comma 8 3 6 2" xfId="511" xr:uid="{00000000-0005-0000-0000-0000FE010000}"/>
    <cellStyle name="Comma 8 3 6 2 2" xfId="2174" xr:uid="{6A2B16E8-30CA-4893-8522-F1C51E340556}"/>
    <cellStyle name="Comma 8 3 6 3" xfId="2173" xr:uid="{D412E4DB-84D9-488E-9691-2D04647B9CF0}"/>
    <cellStyle name="Comma 8 3 7" xfId="512" xr:uid="{00000000-0005-0000-0000-0000FF010000}"/>
    <cellStyle name="Comma 8 3 7 2" xfId="2175" xr:uid="{C3C6618A-21CD-4E27-A76C-5DBBACB4BA5C}"/>
    <cellStyle name="Comma 8 3 8" xfId="2150" xr:uid="{B79C0B86-5069-409E-B922-06939ED09C16}"/>
    <cellStyle name="Comma 8 4" xfId="513" xr:uid="{00000000-0005-0000-0000-000000020000}"/>
    <cellStyle name="Comma 8 4 2" xfId="514" xr:uid="{00000000-0005-0000-0000-000001020000}"/>
    <cellStyle name="Comma 8 4 2 2" xfId="515" xr:uid="{00000000-0005-0000-0000-000002020000}"/>
    <cellStyle name="Comma 8 4 2 2 2" xfId="516" xr:uid="{00000000-0005-0000-0000-000003020000}"/>
    <cellStyle name="Comma 8 4 2 2 2 2" xfId="2179" xr:uid="{81D13836-4522-4F3D-BA05-87C01E40C5C2}"/>
    <cellStyle name="Comma 8 4 2 2 3" xfId="2178" xr:uid="{F743AE34-DF5B-4825-AD47-9871254A283A}"/>
    <cellStyle name="Comma 8 4 2 3" xfId="517" xr:uid="{00000000-0005-0000-0000-000004020000}"/>
    <cellStyle name="Comma 8 4 2 3 2" xfId="2180" xr:uid="{8DC11103-F598-4995-87BD-360D4F0BDD86}"/>
    <cellStyle name="Comma 8 4 2 4" xfId="2177" xr:uid="{8846DAFE-CCAF-44A3-8663-AF75A77C4CFB}"/>
    <cellStyle name="Comma 8 4 3" xfId="518" xr:uid="{00000000-0005-0000-0000-000005020000}"/>
    <cellStyle name="Comma 8 4 3 2" xfId="519" xr:uid="{00000000-0005-0000-0000-000006020000}"/>
    <cellStyle name="Comma 8 4 3 2 2" xfId="2182" xr:uid="{34D17355-FF52-4767-8DDB-F29457599191}"/>
    <cellStyle name="Comma 8 4 3 3" xfId="2181" xr:uid="{3AA12B6D-47CA-493A-9E58-F965F78789B3}"/>
    <cellStyle name="Comma 8 4 4" xfId="520" xr:uid="{00000000-0005-0000-0000-000007020000}"/>
    <cellStyle name="Comma 8 4 4 2" xfId="521" xr:uid="{00000000-0005-0000-0000-000008020000}"/>
    <cellStyle name="Comma 8 4 4 2 2" xfId="2184" xr:uid="{C1DFFF92-6BCC-4EDB-95AC-A1AEB67A3107}"/>
    <cellStyle name="Comma 8 4 4 3" xfId="2183" xr:uid="{107244D2-5FD4-409E-BFA2-310A65EEB85A}"/>
    <cellStyle name="Comma 8 4 5" xfId="522" xr:uid="{00000000-0005-0000-0000-000009020000}"/>
    <cellStyle name="Comma 8 4 5 2" xfId="2185" xr:uid="{BDE75ED8-3E3F-49CC-935F-97B15BE5502A}"/>
    <cellStyle name="Comma 8 4 6" xfId="2176" xr:uid="{7E7D7ABD-5686-482C-962B-2436F8B6B010}"/>
    <cellStyle name="Comma 8 5" xfId="523" xr:uid="{00000000-0005-0000-0000-00000A020000}"/>
    <cellStyle name="Comma 8 5 2" xfId="524" xr:uid="{00000000-0005-0000-0000-00000B020000}"/>
    <cellStyle name="Comma 8 5 2 2" xfId="525" xr:uid="{00000000-0005-0000-0000-00000C020000}"/>
    <cellStyle name="Comma 8 5 2 2 2" xfId="2188" xr:uid="{FE6CC08E-6951-4DBA-BB88-78A9CA8329B8}"/>
    <cellStyle name="Comma 8 5 2 3" xfId="2187" xr:uid="{250AC50C-DE3D-49B5-B39E-8846FDF23616}"/>
    <cellStyle name="Comma 8 5 3" xfId="526" xr:uid="{00000000-0005-0000-0000-00000D020000}"/>
    <cellStyle name="Comma 8 5 3 2" xfId="527" xr:uid="{00000000-0005-0000-0000-00000E020000}"/>
    <cellStyle name="Comma 8 5 3 2 2" xfId="2190" xr:uid="{C119DE6F-4A10-45D7-A7B4-3DA009E4B45F}"/>
    <cellStyle name="Comma 8 5 3 3" xfId="2189" xr:uid="{14736C94-AF1F-4BFF-85A5-1721FDCE3DFA}"/>
    <cellStyle name="Comma 8 5 4" xfId="528" xr:uid="{00000000-0005-0000-0000-00000F020000}"/>
    <cellStyle name="Comma 8 5 4 2" xfId="2191" xr:uid="{E93B5A9B-CE1D-4A9C-8D49-1FA3091EC0F5}"/>
    <cellStyle name="Comma 8 5 5" xfId="2186" xr:uid="{16F0413D-E7D4-4084-986C-E8D9D8EF6150}"/>
    <cellStyle name="Comma 8 6" xfId="529" xr:uid="{00000000-0005-0000-0000-000010020000}"/>
    <cellStyle name="Comma 8 7" xfId="2910" xr:uid="{567A909A-3A69-4BAD-9C7A-6895E97A881F}"/>
    <cellStyle name="Comma 8 8" xfId="2936" xr:uid="{EE01DA06-5F8E-4341-A8D8-36D35190BEF8}"/>
    <cellStyle name="Comma 9" xfId="530" xr:uid="{00000000-0005-0000-0000-000011020000}"/>
    <cellStyle name="Comma 9 2" xfId="531" xr:uid="{00000000-0005-0000-0000-000012020000}"/>
    <cellStyle name="Comma 9 2 2" xfId="532" xr:uid="{00000000-0005-0000-0000-000013020000}"/>
    <cellStyle name="Comma 9 3" xfId="533" xr:uid="{00000000-0005-0000-0000-000014020000}"/>
    <cellStyle name="Comma 9 3 2" xfId="534" xr:uid="{00000000-0005-0000-0000-000015020000}"/>
    <cellStyle name="Comma 9 3 2 2" xfId="535" xr:uid="{00000000-0005-0000-0000-000016020000}"/>
    <cellStyle name="Comma 9 3 2 2 2" xfId="2195" xr:uid="{D6AB4642-0863-4A20-A376-51662F8769D3}"/>
    <cellStyle name="Comma 9 3 2 3" xfId="2194" xr:uid="{00D726A9-DFE4-4DA2-A913-B67F85829073}"/>
    <cellStyle name="Comma 9 3 3" xfId="536" xr:uid="{00000000-0005-0000-0000-000017020000}"/>
    <cellStyle name="Comma 9 3 3 2" xfId="2196" xr:uid="{E45EA659-FA7B-4EC9-BCE7-7D3CD6B8F9B4}"/>
    <cellStyle name="Comma 9 3 4" xfId="2193" xr:uid="{15A26256-3C37-4823-8476-3C937CDCA724}"/>
    <cellStyle name="Comma 9 4" xfId="537" xr:uid="{00000000-0005-0000-0000-000018020000}"/>
    <cellStyle name="Comma 9 4 2" xfId="538" xr:uid="{00000000-0005-0000-0000-000019020000}"/>
    <cellStyle name="Comma 9 4 2 2" xfId="539" xr:uid="{00000000-0005-0000-0000-00001A020000}"/>
    <cellStyle name="Comma 9 4 2 2 2" xfId="2199" xr:uid="{5FAD1F51-8260-403E-A06F-AC0AFBD07D76}"/>
    <cellStyle name="Comma 9 4 2 3" xfId="2198" xr:uid="{3BA83E97-2549-481C-B3AF-55AA5DE77D69}"/>
    <cellStyle name="Comma 9 4 3" xfId="540" xr:uid="{00000000-0005-0000-0000-00001B020000}"/>
    <cellStyle name="Comma 9 4 3 2" xfId="2200" xr:uid="{274F0676-1878-486D-A0D0-F837C7B4EBD9}"/>
    <cellStyle name="Comma 9 4 4" xfId="2197" xr:uid="{D633870F-F0B9-42D3-9571-F5BE31D7ABAA}"/>
    <cellStyle name="Comma 9 5" xfId="541" xr:uid="{00000000-0005-0000-0000-00001C020000}"/>
    <cellStyle name="Comma 9 5 2" xfId="542" xr:uid="{00000000-0005-0000-0000-00001D020000}"/>
    <cellStyle name="Comma 9 5 2 2" xfId="2202" xr:uid="{A83BA21D-EA64-4BC9-98F1-544CF61C5334}"/>
    <cellStyle name="Comma 9 5 3" xfId="2201" xr:uid="{46F914E5-0E14-441C-BF50-256DB153959D}"/>
    <cellStyle name="Comma 9 6" xfId="543" xr:uid="{00000000-0005-0000-0000-00001E020000}"/>
    <cellStyle name="Comma 9 6 2" xfId="544" xr:uid="{00000000-0005-0000-0000-00001F020000}"/>
    <cellStyle name="Comma 9 6 2 2" xfId="2204" xr:uid="{AD459930-4D61-4D12-95F5-C854FA5454FE}"/>
    <cellStyle name="Comma 9 6 3" xfId="2203" xr:uid="{9591D33C-B218-49B4-BF98-2CAF0F722233}"/>
    <cellStyle name="Comma 9 7" xfId="545" xr:uid="{00000000-0005-0000-0000-000020020000}"/>
    <cellStyle name="Comma 9 7 2" xfId="2205" xr:uid="{C91C8DD6-70F9-4C70-97CB-891A29E1F428}"/>
    <cellStyle name="Comma 9 8" xfId="2192" xr:uid="{A250B764-5F7E-457E-B325-B0DBD7E274E0}"/>
    <cellStyle name="Comma0" xfId="546" xr:uid="{00000000-0005-0000-0000-000021020000}"/>
    <cellStyle name="Comma0 2" xfId="547" xr:uid="{00000000-0005-0000-0000-000022020000}"/>
    <cellStyle name="Comma0 2 2" xfId="548" xr:uid="{00000000-0005-0000-0000-000023020000}"/>
    <cellStyle name="Comma0 2 3" xfId="549" xr:uid="{00000000-0005-0000-0000-000024020000}"/>
    <cellStyle name="Comma0 2 4" xfId="550" xr:uid="{00000000-0005-0000-0000-000025020000}"/>
    <cellStyle name="Comma0 3" xfId="551" xr:uid="{00000000-0005-0000-0000-000026020000}"/>
    <cellStyle name="Company Name" xfId="552" xr:uid="{00000000-0005-0000-0000-000027020000}"/>
    <cellStyle name="Currency" xfId="553" builtinId="4"/>
    <cellStyle name="Currency 0.00" xfId="554" xr:uid="{00000000-0005-0000-0000-000029020000}"/>
    <cellStyle name="Currency 10" xfId="555" xr:uid="{00000000-0005-0000-0000-00002A020000}"/>
    <cellStyle name="Currency 10 2" xfId="556" xr:uid="{00000000-0005-0000-0000-00002B020000}"/>
    <cellStyle name="Currency 11" xfId="557" xr:uid="{00000000-0005-0000-0000-00002C020000}"/>
    <cellStyle name="Currency 11 2" xfId="558" xr:uid="{00000000-0005-0000-0000-00002D020000}"/>
    <cellStyle name="Currency 12" xfId="559" xr:uid="{00000000-0005-0000-0000-00002E020000}"/>
    <cellStyle name="Currency 13" xfId="560" xr:uid="{00000000-0005-0000-0000-00002F020000}"/>
    <cellStyle name="Currency 13 2" xfId="561" xr:uid="{00000000-0005-0000-0000-000030020000}"/>
    <cellStyle name="Currency 14" xfId="562" xr:uid="{00000000-0005-0000-0000-000031020000}"/>
    <cellStyle name="Currency 15" xfId="563" xr:uid="{00000000-0005-0000-0000-000032020000}"/>
    <cellStyle name="Currency 16" xfId="564" xr:uid="{00000000-0005-0000-0000-000033020000}"/>
    <cellStyle name="Currency 17" xfId="565" xr:uid="{00000000-0005-0000-0000-000034020000}"/>
    <cellStyle name="Currency 18" xfId="566" xr:uid="{00000000-0005-0000-0000-000035020000}"/>
    <cellStyle name="Currency 19" xfId="2932" xr:uid="{CDEFF052-BD91-4EE2-B274-0E268E3F925C}"/>
    <cellStyle name="Currency 2" xfId="567" xr:uid="{00000000-0005-0000-0000-000036020000}"/>
    <cellStyle name="Currency 2 10" xfId="568" xr:uid="{00000000-0005-0000-0000-000037020000}"/>
    <cellStyle name="Currency 2 10 2" xfId="569" xr:uid="{00000000-0005-0000-0000-000038020000}"/>
    <cellStyle name="Currency 2 11" xfId="570" xr:uid="{00000000-0005-0000-0000-000039020000}"/>
    <cellStyle name="Currency 2 12" xfId="571" xr:uid="{00000000-0005-0000-0000-00003A020000}"/>
    <cellStyle name="Currency 2 12 2" xfId="572" xr:uid="{00000000-0005-0000-0000-00003B020000}"/>
    <cellStyle name="Currency 2 2" xfId="573" xr:uid="{00000000-0005-0000-0000-00003C020000}"/>
    <cellStyle name="Currency 2 2 2" xfId="574" xr:uid="{00000000-0005-0000-0000-00003D020000}"/>
    <cellStyle name="Currency 2 2 3" xfId="575" xr:uid="{00000000-0005-0000-0000-00003E020000}"/>
    <cellStyle name="Currency 2 2 3 2" xfId="576" xr:uid="{00000000-0005-0000-0000-00003F020000}"/>
    <cellStyle name="Currency 2 3" xfId="577" xr:uid="{00000000-0005-0000-0000-000040020000}"/>
    <cellStyle name="Currency 2 3 2" xfId="578" xr:uid="{00000000-0005-0000-0000-000041020000}"/>
    <cellStyle name="Currency 2 3 3" xfId="579" xr:uid="{00000000-0005-0000-0000-000042020000}"/>
    <cellStyle name="Currency 2 3 3 2" xfId="580" xr:uid="{00000000-0005-0000-0000-000043020000}"/>
    <cellStyle name="Currency 2 4" xfId="581" xr:uid="{00000000-0005-0000-0000-000044020000}"/>
    <cellStyle name="Currency 2 4 2" xfId="582" xr:uid="{00000000-0005-0000-0000-000045020000}"/>
    <cellStyle name="Currency 2 5" xfId="583" xr:uid="{00000000-0005-0000-0000-000046020000}"/>
    <cellStyle name="Currency 2 5 2" xfId="584" xr:uid="{00000000-0005-0000-0000-000047020000}"/>
    <cellStyle name="Currency 2 6" xfId="585" xr:uid="{00000000-0005-0000-0000-000048020000}"/>
    <cellStyle name="Currency 2 7" xfId="586" xr:uid="{00000000-0005-0000-0000-000049020000}"/>
    <cellStyle name="Currency 2 8" xfId="587" xr:uid="{00000000-0005-0000-0000-00004A020000}"/>
    <cellStyle name="Currency 2 8 2" xfId="588" xr:uid="{00000000-0005-0000-0000-00004B020000}"/>
    <cellStyle name="Currency 2 9" xfId="589" xr:uid="{00000000-0005-0000-0000-00004C020000}"/>
    <cellStyle name="Currency 2 9 2" xfId="590" xr:uid="{00000000-0005-0000-0000-00004D020000}"/>
    <cellStyle name="Currency 3" xfId="591" xr:uid="{00000000-0005-0000-0000-00004E020000}"/>
    <cellStyle name="Currency 3 2" xfId="592" xr:uid="{00000000-0005-0000-0000-00004F020000}"/>
    <cellStyle name="Currency 3 2 2" xfId="593" xr:uid="{00000000-0005-0000-0000-000050020000}"/>
    <cellStyle name="Currency 3 2 2 2" xfId="594" xr:uid="{00000000-0005-0000-0000-000051020000}"/>
    <cellStyle name="Currency 3 2 3" xfId="595" xr:uid="{00000000-0005-0000-0000-000052020000}"/>
    <cellStyle name="Currency 3 2 3 2" xfId="596" xr:uid="{00000000-0005-0000-0000-000053020000}"/>
    <cellStyle name="Currency 3 2 4" xfId="597" xr:uid="{00000000-0005-0000-0000-000054020000}"/>
    <cellStyle name="Currency 3 2 5" xfId="598" xr:uid="{00000000-0005-0000-0000-000055020000}"/>
    <cellStyle name="Currency 3 2 5 2" xfId="599" xr:uid="{00000000-0005-0000-0000-000056020000}"/>
    <cellStyle name="Currency 3 2 6" xfId="1923" xr:uid="{4FA9A47E-07B0-4D86-A66E-6B14AB9F9AB5}"/>
    <cellStyle name="Currency 3 3" xfId="600" xr:uid="{00000000-0005-0000-0000-000057020000}"/>
    <cellStyle name="Currency 3 3 2" xfId="601" xr:uid="{00000000-0005-0000-0000-000058020000}"/>
    <cellStyle name="Currency 3 3 3" xfId="602" xr:uid="{00000000-0005-0000-0000-000059020000}"/>
    <cellStyle name="Currency 3 3 3 2" xfId="603" xr:uid="{00000000-0005-0000-0000-00005A020000}"/>
    <cellStyle name="Currency 3 3 4" xfId="1924" xr:uid="{59CAB0A0-343E-4471-9EFB-0E92C959EEE3}"/>
    <cellStyle name="Currency 3 4" xfId="604" xr:uid="{00000000-0005-0000-0000-00005B020000}"/>
    <cellStyle name="Currency 3 5" xfId="605" xr:uid="{00000000-0005-0000-0000-00005C020000}"/>
    <cellStyle name="Currency 3 5 2" xfId="606" xr:uid="{00000000-0005-0000-0000-00005D020000}"/>
    <cellStyle name="Currency 3 6" xfId="1922" xr:uid="{F2E94328-E056-4E64-900D-56231FD29569}"/>
    <cellStyle name="Currency 4" xfId="607" xr:uid="{00000000-0005-0000-0000-00005E020000}"/>
    <cellStyle name="Currency 4 2" xfId="608" xr:uid="{00000000-0005-0000-0000-00005F020000}"/>
    <cellStyle name="Currency 4 2 2" xfId="609" xr:uid="{00000000-0005-0000-0000-000060020000}"/>
    <cellStyle name="Currency 4 3" xfId="610" xr:uid="{00000000-0005-0000-0000-000061020000}"/>
    <cellStyle name="Currency 4 3 2" xfId="611" xr:uid="{00000000-0005-0000-0000-000062020000}"/>
    <cellStyle name="Currency 4 4" xfId="612" xr:uid="{00000000-0005-0000-0000-000063020000}"/>
    <cellStyle name="Currency 5" xfId="613" xr:uid="{00000000-0005-0000-0000-000064020000}"/>
    <cellStyle name="Currency 5 2" xfId="614" xr:uid="{00000000-0005-0000-0000-000065020000}"/>
    <cellStyle name="Currency 5 2 2" xfId="615" xr:uid="{00000000-0005-0000-0000-000066020000}"/>
    <cellStyle name="Currency 5 2 3" xfId="616" xr:uid="{00000000-0005-0000-0000-000067020000}"/>
    <cellStyle name="Currency 5 3" xfId="617" xr:uid="{00000000-0005-0000-0000-000068020000}"/>
    <cellStyle name="Currency 5 3 2" xfId="618" xr:uid="{00000000-0005-0000-0000-000069020000}"/>
    <cellStyle name="Currency 5 3 3" xfId="619" xr:uid="{00000000-0005-0000-0000-00006A020000}"/>
    <cellStyle name="Currency 5 4" xfId="620" xr:uid="{00000000-0005-0000-0000-00006B020000}"/>
    <cellStyle name="Currency 5 5" xfId="621" xr:uid="{00000000-0005-0000-0000-00006C020000}"/>
    <cellStyle name="Currency 5 5 2" xfId="622" xr:uid="{00000000-0005-0000-0000-00006D020000}"/>
    <cellStyle name="Currency 6" xfId="623" xr:uid="{00000000-0005-0000-0000-00006E020000}"/>
    <cellStyle name="Currency 6 2" xfId="624" xr:uid="{00000000-0005-0000-0000-00006F020000}"/>
    <cellStyle name="Currency 6 2 2" xfId="625" xr:uid="{00000000-0005-0000-0000-000070020000}"/>
    <cellStyle name="Currency 6 2 2 2" xfId="626" xr:uid="{00000000-0005-0000-0000-000071020000}"/>
    <cellStyle name="Currency 6 3" xfId="627" xr:uid="{00000000-0005-0000-0000-000072020000}"/>
    <cellStyle name="Currency 6 3 2" xfId="628" xr:uid="{00000000-0005-0000-0000-000073020000}"/>
    <cellStyle name="Currency 6 3 2 2" xfId="629" xr:uid="{00000000-0005-0000-0000-000074020000}"/>
    <cellStyle name="Currency 6 4" xfId="630" xr:uid="{00000000-0005-0000-0000-000075020000}"/>
    <cellStyle name="Currency 6 4 2" xfId="631" xr:uid="{00000000-0005-0000-0000-000076020000}"/>
    <cellStyle name="Currency 6 4 2 2" xfId="632" xr:uid="{00000000-0005-0000-0000-000077020000}"/>
    <cellStyle name="Currency 6 5" xfId="633" xr:uid="{00000000-0005-0000-0000-000078020000}"/>
    <cellStyle name="Currency 6 5 2" xfId="634" xr:uid="{00000000-0005-0000-0000-000079020000}"/>
    <cellStyle name="Currency 7" xfId="635" xr:uid="{00000000-0005-0000-0000-00007A020000}"/>
    <cellStyle name="Currency 7 2" xfId="636" xr:uid="{00000000-0005-0000-0000-00007B020000}"/>
    <cellStyle name="Currency 7 2 2" xfId="637" xr:uid="{00000000-0005-0000-0000-00007C020000}"/>
    <cellStyle name="Currency 7 2 3" xfId="638" xr:uid="{00000000-0005-0000-0000-00007D020000}"/>
    <cellStyle name="Currency 7 2 3 2" xfId="2208" xr:uid="{5C5FA27D-323F-4EC0-AF7E-1429267642FD}"/>
    <cellStyle name="Currency 7 2 4" xfId="639" xr:uid="{00000000-0005-0000-0000-00007E020000}"/>
    <cellStyle name="Currency 7 2 4 2" xfId="2209" xr:uid="{923BE68D-9C46-4018-BFEA-4CA14B663740}"/>
    <cellStyle name="Currency 7 2 5" xfId="2207" xr:uid="{1248595F-06B5-4F69-B93B-B030A0AAB8B5}"/>
    <cellStyle name="Currency 7 3" xfId="640" xr:uid="{00000000-0005-0000-0000-00007F020000}"/>
    <cellStyle name="Currency 7 4" xfId="641" xr:uid="{00000000-0005-0000-0000-000080020000}"/>
    <cellStyle name="Currency 7 5" xfId="642" xr:uid="{00000000-0005-0000-0000-000081020000}"/>
    <cellStyle name="Currency 7 5 2" xfId="2210" xr:uid="{8AFE86C2-2978-4FFE-AAFB-C4F5AB6B5F45}"/>
    <cellStyle name="Currency 7 6" xfId="643" xr:uid="{00000000-0005-0000-0000-000082020000}"/>
    <cellStyle name="Currency 7 6 2" xfId="2211" xr:uid="{1E37C409-8684-4DD1-BBDB-375F707B31E2}"/>
    <cellStyle name="Currency 7 7" xfId="2206" xr:uid="{64010509-FAB2-43AE-9A30-E562131C9CD8}"/>
    <cellStyle name="Currency 8" xfId="644" xr:uid="{00000000-0005-0000-0000-000083020000}"/>
    <cellStyle name="Currency 8 2" xfId="645" xr:uid="{00000000-0005-0000-0000-000084020000}"/>
    <cellStyle name="Currency 9" xfId="646" xr:uid="{00000000-0005-0000-0000-000085020000}"/>
    <cellStyle name="Currency 9 2" xfId="647" xr:uid="{00000000-0005-0000-0000-000086020000}"/>
    <cellStyle name="Currency 9 2 2" xfId="648" xr:uid="{00000000-0005-0000-0000-000087020000}"/>
    <cellStyle name="Currency0" xfId="649" xr:uid="{00000000-0005-0000-0000-000088020000}"/>
    <cellStyle name="Currency0 2" xfId="650" xr:uid="{00000000-0005-0000-0000-000089020000}"/>
    <cellStyle name="Currency0 2 2" xfId="651" xr:uid="{00000000-0005-0000-0000-00008A020000}"/>
    <cellStyle name="Currency0 2 3" xfId="652" xr:uid="{00000000-0005-0000-0000-00008B020000}"/>
    <cellStyle name="Currency0 2 4" xfId="653" xr:uid="{00000000-0005-0000-0000-00008C020000}"/>
    <cellStyle name="Currency0 3" xfId="654" xr:uid="{00000000-0005-0000-0000-00008D020000}"/>
    <cellStyle name="Date" xfId="655" xr:uid="{00000000-0005-0000-0000-00008E020000}"/>
    <cellStyle name="Date 2" xfId="656" xr:uid="{00000000-0005-0000-0000-00008F020000}"/>
    <cellStyle name="Date 2 2" xfId="657" xr:uid="{00000000-0005-0000-0000-000090020000}"/>
    <cellStyle name="Date 2 3" xfId="658" xr:uid="{00000000-0005-0000-0000-000091020000}"/>
    <cellStyle name="Date 2 4" xfId="659" xr:uid="{00000000-0005-0000-0000-000092020000}"/>
    <cellStyle name="Date 3" xfId="660" xr:uid="{00000000-0005-0000-0000-000093020000}"/>
    <cellStyle name="Explanatory Text" xfId="661" builtinId="53" customBuiltin="1"/>
    <cellStyle name="Explanatory Text 2" xfId="662" xr:uid="{00000000-0005-0000-0000-000095020000}"/>
    <cellStyle name="Fixed" xfId="663" xr:uid="{00000000-0005-0000-0000-000096020000}"/>
    <cellStyle name="Fixed 2" xfId="664" xr:uid="{00000000-0005-0000-0000-000097020000}"/>
    <cellStyle name="Fixed 2 2" xfId="665" xr:uid="{00000000-0005-0000-0000-000098020000}"/>
    <cellStyle name="Fixed 2 3" xfId="666" xr:uid="{00000000-0005-0000-0000-000099020000}"/>
    <cellStyle name="Fixed 2 4" xfId="667" xr:uid="{00000000-0005-0000-0000-00009A020000}"/>
    <cellStyle name="Fixed 3" xfId="668" xr:uid="{00000000-0005-0000-0000-00009B020000}"/>
    <cellStyle name="Followed Hyperlink 2" xfId="669" xr:uid="{00000000-0005-0000-0000-00009C020000}"/>
    <cellStyle name="FONT" xfId="670" xr:uid="{00000000-0005-0000-0000-00009D020000}"/>
    <cellStyle name="FundHeaderRowCol.*" xfId="671" xr:uid="{00000000-0005-0000-0000-00009E020000}"/>
    <cellStyle name="FundHeaderRowCol.1" xfId="672" xr:uid="{00000000-0005-0000-0000-00009F020000}"/>
    <cellStyle name="FundHeaderRowCol.2" xfId="673" xr:uid="{00000000-0005-0000-0000-0000A0020000}"/>
    <cellStyle name="FundHeaderRowCol.Desc" xfId="674" xr:uid="{00000000-0005-0000-0000-0000A1020000}"/>
    <cellStyle name="FundSectionHeaderRowDescCol" xfId="675" xr:uid="{00000000-0005-0000-0000-0000A2020000}"/>
    <cellStyle name="FundSectionHeaderRowJERefCol" xfId="676" xr:uid="{00000000-0005-0000-0000-0000A3020000}"/>
    <cellStyle name="FundSectionHeaderRowNameCol" xfId="677" xr:uid="{00000000-0005-0000-0000-0000A4020000}"/>
    <cellStyle name="Good" xfId="678" builtinId="26" customBuiltin="1"/>
    <cellStyle name="Good 2" xfId="679" xr:uid="{00000000-0005-0000-0000-0000A6020000}"/>
    <cellStyle name="Good 2 2" xfId="680" xr:uid="{00000000-0005-0000-0000-0000A7020000}"/>
    <cellStyle name="Good 2 3" xfId="681" xr:uid="{00000000-0005-0000-0000-0000A8020000}"/>
    <cellStyle name="Good 2 4" xfId="682" xr:uid="{00000000-0005-0000-0000-0000A9020000}"/>
    <cellStyle name="Good 2 5" xfId="683" xr:uid="{00000000-0005-0000-0000-0000AA020000}"/>
    <cellStyle name="Good 2 6" xfId="1964" xr:uid="{48795AA5-E93A-4C32-BDEF-D9F7191322AC}"/>
    <cellStyle name="GroupSectionHeaderRowBalance" xfId="684" xr:uid="{00000000-0005-0000-0000-0000AB020000}"/>
    <cellStyle name="GroupSectionHeaderRowDescCol" xfId="685" xr:uid="{00000000-0005-0000-0000-0000AC020000}"/>
    <cellStyle name="GroupSectionHeaderRowNameCol" xfId="686" xr:uid="{00000000-0005-0000-0000-0000AD020000}"/>
    <cellStyle name="GroupSelectionHeaderRowJERefCol" xfId="687" xr:uid="{00000000-0005-0000-0000-0000AE020000}"/>
    <cellStyle name="heading" xfId="688" xr:uid="{00000000-0005-0000-0000-0000AF020000}"/>
    <cellStyle name="Heading 1" xfId="689" builtinId="16" customBuiltin="1"/>
    <cellStyle name="Heading 1 2" xfId="690" xr:uid="{00000000-0005-0000-0000-0000B1020000}"/>
    <cellStyle name="Heading 1 2 2" xfId="691" xr:uid="{00000000-0005-0000-0000-0000B2020000}"/>
    <cellStyle name="Heading 1 2 3" xfId="692" xr:uid="{00000000-0005-0000-0000-0000B3020000}"/>
    <cellStyle name="Heading 1 2 4" xfId="693" xr:uid="{00000000-0005-0000-0000-0000B4020000}"/>
    <cellStyle name="Heading 1 2 5" xfId="694" xr:uid="{00000000-0005-0000-0000-0000B5020000}"/>
    <cellStyle name="Heading 1 2 6" xfId="695" xr:uid="{00000000-0005-0000-0000-0000B6020000}"/>
    <cellStyle name="Heading 1 3" xfId="696" xr:uid="{00000000-0005-0000-0000-0000B7020000}"/>
    <cellStyle name="Heading 1 3 2" xfId="697" xr:uid="{00000000-0005-0000-0000-0000B8020000}"/>
    <cellStyle name="Heading 1 3 3" xfId="698" xr:uid="{00000000-0005-0000-0000-0000B9020000}"/>
    <cellStyle name="Heading 2" xfId="699" builtinId="17" customBuiltin="1"/>
    <cellStyle name="Heading 2 2" xfId="700" xr:uid="{00000000-0005-0000-0000-0000BB020000}"/>
    <cellStyle name="Heading 2 2 2" xfId="701" xr:uid="{00000000-0005-0000-0000-0000BC020000}"/>
    <cellStyle name="Heading 2 2 3" xfId="702" xr:uid="{00000000-0005-0000-0000-0000BD020000}"/>
    <cellStyle name="Heading 2 2 4" xfId="703" xr:uid="{00000000-0005-0000-0000-0000BE020000}"/>
    <cellStyle name="Heading 2 2 5" xfId="704" xr:uid="{00000000-0005-0000-0000-0000BF020000}"/>
    <cellStyle name="Heading 2 2 6" xfId="705" xr:uid="{00000000-0005-0000-0000-0000C0020000}"/>
    <cellStyle name="Heading 2 3" xfId="706" xr:uid="{00000000-0005-0000-0000-0000C1020000}"/>
    <cellStyle name="Heading 2 3 2" xfId="707" xr:uid="{00000000-0005-0000-0000-0000C2020000}"/>
    <cellStyle name="Heading 2 3 3" xfId="708" xr:uid="{00000000-0005-0000-0000-0000C3020000}"/>
    <cellStyle name="Heading 3" xfId="709" builtinId="18" customBuiltin="1"/>
    <cellStyle name="Heading 3 2" xfId="710" xr:uid="{00000000-0005-0000-0000-0000C5020000}"/>
    <cellStyle name="Heading 3 2 2" xfId="711" xr:uid="{00000000-0005-0000-0000-0000C6020000}"/>
    <cellStyle name="Heading 3 2 3" xfId="712" xr:uid="{00000000-0005-0000-0000-0000C7020000}"/>
    <cellStyle name="Heading 3 2 4" xfId="713" xr:uid="{00000000-0005-0000-0000-0000C8020000}"/>
    <cellStyle name="Heading 4" xfId="714" builtinId="19" customBuiltin="1"/>
    <cellStyle name="Heading 4 2" xfId="715" xr:uid="{00000000-0005-0000-0000-0000CA020000}"/>
    <cellStyle name="Heading 4 2 2" xfId="716" xr:uid="{00000000-0005-0000-0000-0000CB020000}"/>
    <cellStyle name="Heading 4 2 3" xfId="717" xr:uid="{00000000-0005-0000-0000-0000CC020000}"/>
    <cellStyle name="Heading 4 2 4" xfId="718" xr:uid="{00000000-0005-0000-0000-0000CD020000}"/>
    <cellStyle name="Hyperlink 2" xfId="719" xr:uid="{00000000-0005-0000-0000-0000CE020000}"/>
    <cellStyle name="Hyperlink 2 2" xfId="720" xr:uid="{00000000-0005-0000-0000-0000CF020000}"/>
    <cellStyle name="Hyperlink 2 3" xfId="1965" xr:uid="{28FF99BF-DB65-4501-A6D3-EE3AA477B816}"/>
    <cellStyle name="Input" xfId="721" builtinId="20" customBuiltin="1"/>
    <cellStyle name="Input 2" xfId="722" xr:uid="{00000000-0005-0000-0000-0000D1020000}"/>
    <cellStyle name="Input 2 2" xfId="723" xr:uid="{00000000-0005-0000-0000-0000D2020000}"/>
    <cellStyle name="Input 2 3" xfId="724" xr:uid="{00000000-0005-0000-0000-0000D3020000}"/>
    <cellStyle name="Input 2 4" xfId="725" xr:uid="{00000000-0005-0000-0000-0000D4020000}"/>
    <cellStyle name="JEDescriptionRowNameCol" xfId="726" xr:uid="{00000000-0005-0000-0000-0000D5020000}"/>
    <cellStyle name="JEDetailRowCreditCol" xfId="727" xr:uid="{00000000-0005-0000-0000-0000D6020000}"/>
    <cellStyle name="JEDetailRowDebitCol" xfId="728" xr:uid="{00000000-0005-0000-0000-0000D7020000}"/>
    <cellStyle name="JEDetailRowDescCol" xfId="729" xr:uid="{00000000-0005-0000-0000-0000D8020000}"/>
    <cellStyle name="JEDetailRowNameCol" xfId="730" xr:uid="{00000000-0005-0000-0000-0000D9020000}"/>
    <cellStyle name="JEDetailRowSpacerCol" xfId="731" xr:uid="{00000000-0005-0000-0000-0000DA020000}"/>
    <cellStyle name="JEDetailRowWPRefCol" xfId="732" xr:uid="{00000000-0005-0000-0000-0000DB020000}"/>
    <cellStyle name="JEFundSectionHeaderRowDescCol" xfId="733" xr:uid="{00000000-0005-0000-0000-0000DC020000}"/>
    <cellStyle name="JEFundSectionHeaderRowNameCol" xfId="734" xr:uid="{00000000-0005-0000-0000-0000DD020000}"/>
    <cellStyle name="JEIdentityRowDescCol" xfId="735" xr:uid="{00000000-0005-0000-0000-0000DE020000}"/>
    <cellStyle name="JEIdentityRowNameCol" xfId="736" xr:uid="{00000000-0005-0000-0000-0000DF020000}"/>
    <cellStyle name="JEIdentityRowSpacerCol" xfId="737" xr:uid="{00000000-0005-0000-0000-0000E0020000}"/>
    <cellStyle name="JEIdentityRowWPRefCol" xfId="738" xr:uid="{00000000-0005-0000-0000-0000E1020000}"/>
    <cellStyle name="JETotalRowCreditCol" xfId="739" xr:uid="{00000000-0005-0000-0000-0000E2020000}"/>
    <cellStyle name="JETotalRowDebitCol" xfId="740" xr:uid="{00000000-0005-0000-0000-0000E3020000}"/>
    <cellStyle name="JETotalRowDescCol" xfId="741" xr:uid="{00000000-0005-0000-0000-0000E4020000}"/>
    <cellStyle name="JETotalRowNameCol" xfId="742" xr:uid="{00000000-0005-0000-0000-0000E5020000}"/>
    <cellStyle name="JETotalRowSpacerCol" xfId="743" xr:uid="{00000000-0005-0000-0000-0000E6020000}"/>
    <cellStyle name="JETotalRowWPRefCol" xfId="744" xr:uid="{00000000-0005-0000-0000-0000E7020000}"/>
    <cellStyle name="JETypeDescriptionRowDescCol" xfId="745" xr:uid="{00000000-0005-0000-0000-0000E8020000}"/>
    <cellStyle name="JETypeDescriptionRowNameCol" xfId="746" xr:uid="{00000000-0005-0000-0000-0000E9020000}"/>
    <cellStyle name="Linked Cell" xfId="747" builtinId="24" customBuiltin="1"/>
    <cellStyle name="Linked Cell 2" xfId="748" xr:uid="{00000000-0005-0000-0000-0000EB020000}"/>
    <cellStyle name="Linked Cell 2 2" xfId="749" xr:uid="{00000000-0005-0000-0000-0000EC020000}"/>
    <cellStyle name="Linked Cell 2 3" xfId="750" xr:uid="{00000000-0005-0000-0000-0000ED020000}"/>
    <cellStyle name="Linked Cell 2 4" xfId="751" xr:uid="{00000000-0005-0000-0000-0000EE020000}"/>
    <cellStyle name="M" xfId="752" xr:uid="{00000000-0005-0000-0000-0000EF020000}"/>
    <cellStyle name="M 2" xfId="753" xr:uid="{00000000-0005-0000-0000-0000F0020000}"/>
    <cellStyle name="NetAssetsCategoryTitle" xfId="754" xr:uid="{00000000-0005-0000-0000-0000F1020000}"/>
    <cellStyle name="NetIncomeLossRowBalanceCol" xfId="755" xr:uid="{00000000-0005-0000-0000-0000F2020000}"/>
    <cellStyle name="NetIncomeLossRowDescCol" xfId="756" xr:uid="{00000000-0005-0000-0000-0000F3020000}"/>
    <cellStyle name="NetIncomeLossRowJERefCol" xfId="757" xr:uid="{00000000-0005-0000-0000-0000F4020000}"/>
    <cellStyle name="NetIncomeLossRowNameCol" xfId="758" xr:uid="{00000000-0005-0000-0000-0000F5020000}"/>
    <cellStyle name="NetIncomeLossRowSpacerCol" xfId="759" xr:uid="{00000000-0005-0000-0000-0000F6020000}"/>
    <cellStyle name="NetIncomeLossRowVarPectCol" xfId="760" xr:uid="{00000000-0005-0000-0000-0000F7020000}"/>
    <cellStyle name="NetIncomeLossRowWPRefCol" xfId="761" xr:uid="{00000000-0005-0000-0000-0000F8020000}"/>
    <cellStyle name="Neutral" xfId="762" builtinId="28" customBuiltin="1"/>
    <cellStyle name="Neutral 2" xfId="763" xr:uid="{00000000-0005-0000-0000-0000FA020000}"/>
    <cellStyle name="Neutral 2 2" xfId="764" xr:uid="{00000000-0005-0000-0000-0000FB020000}"/>
    <cellStyle name="Neutral 2 3" xfId="765" xr:uid="{00000000-0005-0000-0000-0000FC020000}"/>
    <cellStyle name="Neutral 2 4" xfId="766" xr:uid="{00000000-0005-0000-0000-0000FD020000}"/>
    <cellStyle name="Neutral 3" xfId="1946" xr:uid="{478A4F49-30B3-484D-9F07-4BEDE4B9FA5D}"/>
    <cellStyle name="NoData" xfId="767" xr:uid="{00000000-0005-0000-0000-0000FE020000}"/>
    <cellStyle name="Normal" xfId="0" builtinId="0"/>
    <cellStyle name="Normal 10" xfId="768" xr:uid="{00000000-0005-0000-0000-000000030000}"/>
    <cellStyle name="Normal 10 2" xfId="769" xr:uid="{00000000-0005-0000-0000-000001030000}"/>
    <cellStyle name="Normal 10 2 2" xfId="770" xr:uid="{00000000-0005-0000-0000-000002030000}"/>
    <cellStyle name="Normal 10 2 3" xfId="771" xr:uid="{00000000-0005-0000-0000-000003030000}"/>
    <cellStyle name="Normal 10 2 3 2" xfId="2906" xr:uid="{7411096F-87A7-40CD-A3EA-4D9E89130784}"/>
    <cellStyle name="Normal 10 3" xfId="772" xr:uid="{00000000-0005-0000-0000-000004030000}"/>
    <cellStyle name="Normal 10 3 2" xfId="773" xr:uid="{00000000-0005-0000-0000-000005030000}"/>
    <cellStyle name="Normal 10 3 3" xfId="774" xr:uid="{00000000-0005-0000-0000-000006030000}"/>
    <cellStyle name="Normal 10 4" xfId="775" xr:uid="{00000000-0005-0000-0000-000007030000}"/>
    <cellStyle name="Normal 10 5" xfId="776" xr:uid="{00000000-0005-0000-0000-000008030000}"/>
    <cellStyle name="Normal 10 5 2" xfId="2894" xr:uid="{0EEBFEBD-DD13-4AD5-B218-E57573A96E7B}"/>
    <cellStyle name="Normal 10 6" xfId="1966" xr:uid="{8A77D70C-EA93-474B-A67B-73F375DD0093}"/>
    <cellStyle name="Normal 10 7" xfId="1935" xr:uid="{10A2BA4A-B15F-4188-8B83-23EA2881FBF4}"/>
    <cellStyle name="Normal 10 8" xfId="2949" xr:uid="{B868C3B4-433A-4DBD-AF52-0927973EE5D1}"/>
    <cellStyle name="Normal 11" xfId="777" xr:uid="{00000000-0005-0000-0000-000009030000}"/>
    <cellStyle name="Normal 11 2" xfId="778" xr:uid="{00000000-0005-0000-0000-00000A030000}"/>
    <cellStyle name="Normal 11 3" xfId="779" xr:uid="{00000000-0005-0000-0000-00000B030000}"/>
    <cellStyle name="Normal 11 4" xfId="780" xr:uid="{00000000-0005-0000-0000-00000C030000}"/>
    <cellStyle name="Normal 11 5" xfId="781" xr:uid="{00000000-0005-0000-0000-00000D030000}"/>
    <cellStyle name="Normal 11 5 2" xfId="2883" xr:uid="{040FF624-7B74-4F82-9243-EEC05788DE25}"/>
    <cellStyle name="Normal 11 6" xfId="1967" xr:uid="{FD6FD015-B244-452A-BBD0-D4B597AFE837}"/>
    <cellStyle name="Normal 11 7" xfId="2929" xr:uid="{6C2B8223-E5BD-4197-81F1-262613631D96}"/>
    <cellStyle name="Normal 11 8" xfId="2951" xr:uid="{DCF07376-4824-419F-89A4-BC14ED5E52D9}"/>
    <cellStyle name="Normal 12" xfId="782" xr:uid="{00000000-0005-0000-0000-00000E030000}"/>
    <cellStyle name="Normal 12 2" xfId="783" xr:uid="{00000000-0005-0000-0000-00000F030000}"/>
    <cellStyle name="Normal 12 2 2" xfId="784" xr:uid="{00000000-0005-0000-0000-000010030000}"/>
    <cellStyle name="Normal 12 3" xfId="785" xr:uid="{00000000-0005-0000-0000-000011030000}"/>
    <cellStyle name="Normal 12 4" xfId="786" xr:uid="{00000000-0005-0000-0000-000012030000}"/>
    <cellStyle name="Normal 12 5" xfId="787" xr:uid="{00000000-0005-0000-0000-000013030000}"/>
    <cellStyle name="Normal 12 5 2" xfId="2895" xr:uid="{7F734537-FCF2-4CE8-A4A6-8654C456F13A}"/>
    <cellStyle name="Normal 13" xfId="788" xr:uid="{00000000-0005-0000-0000-000014030000}"/>
    <cellStyle name="Normal 13 2" xfId="789" xr:uid="{00000000-0005-0000-0000-000015030000}"/>
    <cellStyle name="Normal 13 2 2" xfId="790" xr:uid="{00000000-0005-0000-0000-000016030000}"/>
    <cellStyle name="Normal 13 3" xfId="791" xr:uid="{00000000-0005-0000-0000-000017030000}"/>
    <cellStyle name="Normal 13 4" xfId="792" xr:uid="{00000000-0005-0000-0000-000018030000}"/>
    <cellStyle name="Normal 13 5" xfId="793" xr:uid="{00000000-0005-0000-0000-000019030000}"/>
    <cellStyle name="Normal 14" xfId="794" xr:uid="{00000000-0005-0000-0000-00001A030000}"/>
    <cellStyle name="Normal 14 2" xfId="795" xr:uid="{00000000-0005-0000-0000-00001B030000}"/>
    <cellStyle name="Normal 14 2 2" xfId="796" xr:uid="{00000000-0005-0000-0000-00001C030000}"/>
    <cellStyle name="Normal 14 3" xfId="797" xr:uid="{00000000-0005-0000-0000-00001D030000}"/>
    <cellStyle name="Normal 14 4" xfId="798" xr:uid="{00000000-0005-0000-0000-00001E030000}"/>
    <cellStyle name="Normal 15" xfId="799" xr:uid="{00000000-0005-0000-0000-00001F030000}"/>
    <cellStyle name="Normal 15 2" xfId="800" xr:uid="{00000000-0005-0000-0000-000020030000}"/>
    <cellStyle name="Normal 15 2 2" xfId="801" xr:uid="{00000000-0005-0000-0000-000021030000}"/>
    <cellStyle name="Normal 15 3" xfId="802" xr:uid="{00000000-0005-0000-0000-000022030000}"/>
    <cellStyle name="Normal 15 3 2" xfId="803" xr:uid="{00000000-0005-0000-0000-000023030000}"/>
    <cellStyle name="Normal 15 3 3" xfId="804" xr:uid="{00000000-0005-0000-0000-000024030000}"/>
    <cellStyle name="Normal 15 4" xfId="805" xr:uid="{00000000-0005-0000-0000-000025030000}"/>
    <cellStyle name="Normal 15 4 2" xfId="806" xr:uid="{00000000-0005-0000-0000-000026030000}"/>
    <cellStyle name="Normal 15 5" xfId="807" xr:uid="{00000000-0005-0000-0000-000027030000}"/>
    <cellStyle name="Normal 15 6" xfId="808" xr:uid="{00000000-0005-0000-0000-000028030000}"/>
    <cellStyle name="Normal 16" xfId="809" xr:uid="{00000000-0005-0000-0000-000029030000}"/>
    <cellStyle name="Normal 16 2" xfId="810" xr:uid="{00000000-0005-0000-0000-00002A030000}"/>
    <cellStyle name="Normal 16 2 2" xfId="811" xr:uid="{00000000-0005-0000-0000-00002B030000}"/>
    <cellStyle name="Normal 16 3" xfId="812" xr:uid="{00000000-0005-0000-0000-00002C030000}"/>
    <cellStyle name="Normal 16 3 2" xfId="813" xr:uid="{00000000-0005-0000-0000-00002D030000}"/>
    <cellStyle name="Normal 16 3 3" xfId="814" xr:uid="{00000000-0005-0000-0000-00002E030000}"/>
    <cellStyle name="Normal 16 3 3 2" xfId="2214" xr:uid="{016B3EB4-C82B-4B49-9501-192B8544917A}"/>
    <cellStyle name="Normal 16 3 4" xfId="2213" xr:uid="{4C1EC02C-44A9-4091-9FFB-AB172F4A108E}"/>
    <cellStyle name="Normal 16 4" xfId="815" xr:uid="{00000000-0005-0000-0000-00002F030000}"/>
    <cellStyle name="Normal 16 5" xfId="816" xr:uid="{00000000-0005-0000-0000-000030030000}"/>
    <cellStyle name="Normal 16 5 2" xfId="2215" xr:uid="{9EDEE492-42FA-4138-B993-77837F388D5F}"/>
    <cellStyle name="Normal 16 6" xfId="2212" xr:uid="{C376C736-B8E5-4C9A-96B5-B40B9DC76E8A}"/>
    <cellStyle name="Normal 17" xfId="817" xr:uid="{00000000-0005-0000-0000-000031030000}"/>
    <cellStyle name="Normal 17 2" xfId="818" xr:uid="{00000000-0005-0000-0000-000032030000}"/>
    <cellStyle name="Normal 17 2 2" xfId="819" xr:uid="{00000000-0005-0000-0000-000033030000}"/>
    <cellStyle name="Normal 17 3" xfId="820" xr:uid="{00000000-0005-0000-0000-000034030000}"/>
    <cellStyle name="Normal 17 4" xfId="821" xr:uid="{00000000-0005-0000-0000-000035030000}"/>
    <cellStyle name="Normal 18" xfId="822" xr:uid="{00000000-0005-0000-0000-000036030000}"/>
    <cellStyle name="Normal 18 10" xfId="823" xr:uid="{00000000-0005-0000-0000-000037030000}"/>
    <cellStyle name="Normal 18 10 2" xfId="824" xr:uid="{00000000-0005-0000-0000-000038030000}"/>
    <cellStyle name="Normal 18 10 2 2" xfId="825" xr:uid="{00000000-0005-0000-0000-000039030000}"/>
    <cellStyle name="Normal 18 10 2 2 2" xfId="826" xr:uid="{00000000-0005-0000-0000-00003A030000}"/>
    <cellStyle name="Normal 18 10 2 2 2 2" xfId="2220" xr:uid="{277913A6-A1BD-4F6B-8CDC-87AED6023F50}"/>
    <cellStyle name="Normal 18 10 2 2 3" xfId="2219" xr:uid="{0520A717-1D06-452A-AC2F-AC9ABA0ECA00}"/>
    <cellStyle name="Normal 18 10 2 3" xfId="827" xr:uid="{00000000-0005-0000-0000-00003B030000}"/>
    <cellStyle name="Normal 18 10 2 3 2" xfId="2221" xr:uid="{B944978F-41F6-46EA-91E5-EF9E482D208F}"/>
    <cellStyle name="Normal 18 10 2 4" xfId="2218" xr:uid="{C05CB6F3-AA80-4B09-B1BB-C95A76F46CBA}"/>
    <cellStyle name="Normal 18 10 3" xfId="828" xr:uid="{00000000-0005-0000-0000-00003C030000}"/>
    <cellStyle name="Normal 18 10 3 2" xfId="829" xr:uid="{00000000-0005-0000-0000-00003D030000}"/>
    <cellStyle name="Normal 18 10 3 2 2" xfId="2223" xr:uid="{9FC7729E-F99F-4AA6-A686-CF8430C31F62}"/>
    <cellStyle name="Normal 18 10 3 3" xfId="2222" xr:uid="{FA693F43-87BF-4A92-A314-C89D5CF6A912}"/>
    <cellStyle name="Normal 18 10 4" xfId="830" xr:uid="{00000000-0005-0000-0000-00003E030000}"/>
    <cellStyle name="Normal 18 10 4 2" xfId="831" xr:uid="{00000000-0005-0000-0000-00003F030000}"/>
    <cellStyle name="Normal 18 10 4 2 2" xfId="2225" xr:uid="{44459808-9F1C-4C7F-A796-646DADB40573}"/>
    <cellStyle name="Normal 18 10 4 3" xfId="2224" xr:uid="{5D87220E-2605-4B91-B252-49570B5933CC}"/>
    <cellStyle name="Normal 18 10 5" xfId="832" xr:uid="{00000000-0005-0000-0000-000040030000}"/>
    <cellStyle name="Normal 18 10 5 2" xfId="2226" xr:uid="{6775B085-45F5-47E4-870E-F441D37D2208}"/>
    <cellStyle name="Normal 18 10 6" xfId="2217" xr:uid="{462E3AA8-58A0-44A8-9660-BEFBF03FAF75}"/>
    <cellStyle name="Normal 18 11" xfId="833" xr:uid="{00000000-0005-0000-0000-000041030000}"/>
    <cellStyle name="Normal 18 11 2" xfId="834" xr:uid="{00000000-0005-0000-0000-000042030000}"/>
    <cellStyle name="Normal 18 11 2 2" xfId="835" xr:uid="{00000000-0005-0000-0000-000043030000}"/>
    <cellStyle name="Normal 18 11 2 2 2" xfId="836" xr:uid="{00000000-0005-0000-0000-000044030000}"/>
    <cellStyle name="Normal 18 11 2 2 2 2" xfId="2230" xr:uid="{279A31FB-AC00-4FD1-9B2E-49012B29C1CB}"/>
    <cellStyle name="Normal 18 11 2 2 3" xfId="2229" xr:uid="{8913748C-6E41-407C-9B64-5F6B17E0BF46}"/>
    <cellStyle name="Normal 18 11 2 3" xfId="837" xr:uid="{00000000-0005-0000-0000-000045030000}"/>
    <cellStyle name="Normal 18 11 2 3 2" xfId="2231" xr:uid="{19EDDF9B-E79F-42C4-BD5D-AD3F3F181BE2}"/>
    <cellStyle name="Normal 18 11 2 4" xfId="2228" xr:uid="{AC60932A-AFB3-4FF3-AA4E-1BB87877BFCE}"/>
    <cellStyle name="Normal 18 11 3" xfId="838" xr:uid="{00000000-0005-0000-0000-000046030000}"/>
    <cellStyle name="Normal 18 11 3 2" xfId="839" xr:uid="{00000000-0005-0000-0000-000047030000}"/>
    <cellStyle name="Normal 18 11 3 2 2" xfId="2233" xr:uid="{E14BE940-6CA9-4610-AAF4-AA4A0D44F215}"/>
    <cellStyle name="Normal 18 11 3 3" xfId="2232" xr:uid="{7E499229-A90F-49A1-9F2C-6F251BD59944}"/>
    <cellStyle name="Normal 18 11 4" xfId="840" xr:uid="{00000000-0005-0000-0000-000048030000}"/>
    <cellStyle name="Normal 18 11 4 2" xfId="841" xr:uid="{00000000-0005-0000-0000-000049030000}"/>
    <cellStyle name="Normal 18 11 4 2 2" xfId="2235" xr:uid="{02372C34-77C1-4F81-A2CF-ED9ADFFFB220}"/>
    <cellStyle name="Normal 18 11 4 3" xfId="2234" xr:uid="{4C933BAA-B5E0-4078-BDDF-C01293172B2A}"/>
    <cellStyle name="Normal 18 11 5" xfId="842" xr:uid="{00000000-0005-0000-0000-00004A030000}"/>
    <cellStyle name="Normal 18 11 5 2" xfId="2236" xr:uid="{C07AD83A-B70D-4B24-A829-18E56C76B914}"/>
    <cellStyle name="Normal 18 11 6" xfId="2227" xr:uid="{D6F0A0ED-C684-4B81-A03B-281198F75ED5}"/>
    <cellStyle name="Normal 18 12" xfId="843" xr:uid="{00000000-0005-0000-0000-00004B030000}"/>
    <cellStyle name="Normal 18 12 2" xfId="844" xr:uid="{00000000-0005-0000-0000-00004C030000}"/>
    <cellStyle name="Normal 18 12 2 2" xfId="845" xr:uid="{00000000-0005-0000-0000-00004D030000}"/>
    <cellStyle name="Normal 18 12 2 2 2" xfId="2239" xr:uid="{FBBDA534-37E3-4C77-BF4E-E25B764408F6}"/>
    <cellStyle name="Normal 18 12 2 3" xfId="2238" xr:uid="{AB6B4E6C-579E-444B-91EB-29197F4859BD}"/>
    <cellStyle name="Normal 18 12 3" xfId="846" xr:uid="{00000000-0005-0000-0000-00004E030000}"/>
    <cellStyle name="Normal 18 12 3 2" xfId="847" xr:uid="{00000000-0005-0000-0000-00004F030000}"/>
    <cellStyle name="Normal 18 12 3 2 2" xfId="2241" xr:uid="{DD27F3A9-5F58-4491-B34B-2DA73983ABE7}"/>
    <cellStyle name="Normal 18 12 3 3" xfId="2240" xr:uid="{1FC83700-AE8D-4F30-A2AD-867B6E175FF4}"/>
    <cellStyle name="Normal 18 12 4" xfId="848" xr:uid="{00000000-0005-0000-0000-000050030000}"/>
    <cellStyle name="Normal 18 12 4 2" xfId="2242" xr:uid="{816CD781-9E48-4E3E-90DA-5C08CBC25264}"/>
    <cellStyle name="Normal 18 12 5" xfId="2237" xr:uid="{4439AAB7-C220-4B36-B13C-882F50BF8258}"/>
    <cellStyle name="Normal 18 13" xfId="849" xr:uid="{00000000-0005-0000-0000-000051030000}"/>
    <cellStyle name="Normal 18 13 2" xfId="850" xr:uid="{00000000-0005-0000-0000-000052030000}"/>
    <cellStyle name="Normal 18 13 2 2" xfId="851" xr:uid="{00000000-0005-0000-0000-000053030000}"/>
    <cellStyle name="Normal 18 13 2 2 2" xfId="2245" xr:uid="{4B70AB3A-7031-4910-96B0-48A1F6E8F16C}"/>
    <cellStyle name="Normal 18 13 2 3" xfId="2244" xr:uid="{A3742956-61D6-48B0-BCDE-9F560226B71B}"/>
    <cellStyle name="Normal 18 13 3" xfId="852" xr:uid="{00000000-0005-0000-0000-000054030000}"/>
    <cellStyle name="Normal 18 13 3 2" xfId="2246" xr:uid="{3AC3AA18-BA2A-4C59-8691-566202B048B3}"/>
    <cellStyle name="Normal 18 13 4" xfId="2243" xr:uid="{E4246E38-7EDB-4CA6-9700-BBB18A87AC83}"/>
    <cellStyle name="Normal 18 14" xfId="853" xr:uid="{00000000-0005-0000-0000-000055030000}"/>
    <cellStyle name="Normal 18 14 2" xfId="854" xr:uid="{00000000-0005-0000-0000-000056030000}"/>
    <cellStyle name="Normal 18 14 2 2" xfId="855" xr:uid="{00000000-0005-0000-0000-000057030000}"/>
    <cellStyle name="Normal 18 14 2 2 2" xfId="2249" xr:uid="{83066657-F0F1-4BAE-9187-F412601C8F71}"/>
    <cellStyle name="Normal 18 14 2 3" xfId="2248" xr:uid="{D577CE3F-AEE9-4462-8C55-79EEA1C94595}"/>
    <cellStyle name="Normal 18 14 3" xfId="856" xr:uid="{00000000-0005-0000-0000-000058030000}"/>
    <cellStyle name="Normal 18 14 3 2" xfId="2250" xr:uid="{B31378CD-1730-48C7-84D9-913E894673A9}"/>
    <cellStyle name="Normal 18 14 4" xfId="2247" xr:uid="{BE69B920-F737-44B4-AE26-D36B62B1AACA}"/>
    <cellStyle name="Normal 18 15" xfId="857" xr:uid="{00000000-0005-0000-0000-000059030000}"/>
    <cellStyle name="Normal 18 15 2" xfId="858" xr:uid="{00000000-0005-0000-0000-00005A030000}"/>
    <cellStyle name="Normal 18 15 2 2" xfId="2252" xr:uid="{DEB3E944-D502-4169-8A4C-F03963EFEE70}"/>
    <cellStyle name="Normal 18 15 3" xfId="2251" xr:uid="{6E37277C-763D-4E6B-96CD-A8870F272B6C}"/>
    <cellStyle name="Normal 18 16" xfId="859" xr:uid="{00000000-0005-0000-0000-00005B030000}"/>
    <cellStyle name="Normal 18 16 2" xfId="860" xr:uid="{00000000-0005-0000-0000-00005C030000}"/>
    <cellStyle name="Normal 18 16 2 2" xfId="2254" xr:uid="{F6C639BD-A751-49EA-8ECD-15B3F564861F}"/>
    <cellStyle name="Normal 18 16 3" xfId="2253" xr:uid="{25576380-77B0-4305-9F5B-C3590599DC0D}"/>
    <cellStyle name="Normal 18 17" xfId="861" xr:uid="{00000000-0005-0000-0000-00005D030000}"/>
    <cellStyle name="Normal 18 17 2" xfId="862" xr:uid="{00000000-0005-0000-0000-00005E030000}"/>
    <cellStyle name="Normal 18 17 2 2" xfId="2256" xr:uid="{3F319C98-57ED-4316-8020-4BB2EB942380}"/>
    <cellStyle name="Normal 18 17 3" xfId="2255" xr:uid="{03328443-5DF5-4D90-B1BF-1DD39403B3FC}"/>
    <cellStyle name="Normal 18 18" xfId="863" xr:uid="{00000000-0005-0000-0000-00005F030000}"/>
    <cellStyle name="Normal 18 19" xfId="864" xr:uid="{00000000-0005-0000-0000-000060030000}"/>
    <cellStyle name="Normal 18 19 2" xfId="2257" xr:uid="{B1D2A35C-6E90-42C7-8047-A9312A8DE0B7}"/>
    <cellStyle name="Normal 18 2" xfId="865" xr:uid="{00000000-0005-0000-0000-000061030000}"/>
    <cellStyle name="Normal 18 2 2" xfId="866" xr:uid="{00000000-0005-0000-0000-000062030000}"/>
    <cellStyle name="Normal 18 20" xfId="2216" xr:uid="{DEF55B08-58CC-4528-94CB-24646E35A347}"/>
    <cellStyle name="Normal 18 3" xfId="867" xr:uid="{00000000-0005-0000-0000-000063030000}"/>
    <cellStyle name="Normal 18 3 10" xfId="868" xr:uid="{00000000-0005-0000-0000-000064030000}"/>
    <cellStyle name="Normal 18 3 10 2" xfId="869" xr:uid="{00000000-0005-0000-0000-000065030000}"/>
    <cellStyle name="Normal 18 3 10 2 2" xfId="2260" xr:uid="{56519A33-5E8C-42D8-8816-B5CE9ED33768}"/>
    <cellStyle name="Normal 18 3 10 3" xfId="2259" xr:uid="{321B6C3A-09FE-4BB1-9B3E-D90F27336AD2}"/>
    <cellStyle name="Normal 18 3 11" xfId="870" xr:uid="{00000000-0005-0000-0000-000066030000}"/>
    <cellStyle name="Normal 18 3 12" xfId="871" xr:uid="{00000000-0005-0000-0000-000067030000}"/>
    <cellStyle name="Normal 18 3 12 2" xfId="2261" xr:uid="{351FF91E-3363-4256-9FDA-F5A1B933CFBE}"/>
    <cellStyle name="Normal 18 3 13" xfId="2258" xr:uid="{C13C0782-3575-48B2-B76D-37EA632D03D2}"/>
    <cellStyle name="Normal 18 3 2" xfId="872" xr:uid="{00000000-0005-0000-0000-000068030000}"/>
    <cellStyle name="Normal 18 3 2 10" xfId="873" xr:uid="{00000000-0005-0000-0000-000069030000}"/>
    <cellStyle name="Normal 18 3 2 10 2" xfId="2263" xr:uid="{890003C0-B19C-4C42-A0FA-CE83ADEC8FF3}"/>
    <cellStyle name="Normal 18 3 2 11" xfId="2262" xr:uid="{A18976DF-5D90-4694-88A0-2FB3695DF945}"/>
    <cellStyle name="Normal 18 3 2 2" xfId="874" xr:uid="{00000000-0005-0000-0000-00006A030000}"/>
    <cellStyle name="Normal 18 3 2 2 2" xfId="875" xr:uid="{00000000-0005-0000-0000-00006B030000}"/>
    <cellStyle name="Normal 18 3 2 2 2 2" xfId="876" xr:uid="{00000000-0005-0000-0000-00006C030000}"/>
    <cellStyle name="Normal 18 3 2 2 2 2 2" xfId="877" xr:uid="{00000000-0005-0000-0000-00006D030000}"/>
    <cellStyle name="Normal 18 3 2 2 2 2 2 2" xfId="878" xr:uid="{00000000-0005-0000-0000-00006E030000}"/>
    <cellStyle name="Normal 18 3 2 2 2 2 2 2 2" xfId="2268" xr:uid="{8FDBC3BF-5179-462C-AC1B-5BC2EB3BD019}"/>
    <cellStyle name="Normal 18 3 2 2 2 2 2 3" xfId="2267" xr:uid="{54647485-7DEB-4B9A-9B9B-45E52BEC1127}"/>
    <cellStyle name="Normal 18 3 2 2 2 2 3" xfId="879" xr:uid="{00000000-0005-0000-0000-00006F030000}"/>
    <cellStyle name="Normal 18 3 2 2 2 2 3 2" xfId="2269" xr:uid="{D3D0B3A6-B168-4E8C-A29A-310AAE823072}"/>
    <cellStyle name="Normal 18 3 2 2 2 2 4" xfId="2266" xr:uid="{CA6B399E-A636-439A-B837-BF67236B1128}"/>
    <cellStyle name="Normal 18 3 2 2 2 3" xfId="880" xr:uid="{00000000-0005-0000-0000-000070030000}"/>
    <cellStyle name="Normal 18 3 2 2 2 3 2" xfId="881" xr:uid="{00000000-0005-0000-0000-000071030000}"/>
    <cellStyle name="Normal 18 3 2 2 2 3 2 2" xfId="882" xr:uid="{00000000-0005-0000-0000-000072030000}"/>
    <cellStyle name="Normal 18 3 2 2 2 3 2 2 2" xfId="2272" xr:uid="{D2D3F546-88F4-4504-AB3A-4AA4832B1B1F}"/>
    <cellStyle name="Normal 18 3 2 2 2 3 2 3" xfId="2271" xr:uid="{534C3D1F-3E30-41C0-B68C-B308D6C9CA10}"/>
    <cellStyle name="Normal 18 3 2 2 2 3 3" xfId="883" xr:uid="{00000000-0005-0000-0000-000073030000}"/>
    <cellStyle name="Normal 18 3 2 2 2 3 3 2" xfId="2273" xr:uid="{6FFD9BFF-9026-45E9-809E-DEF59EDEAFFB}"/>
    <cellStyle name="Normal 18 3 2 2 2 3 4" xfId="2270" xr:uid="{E8D20E74-CEB9-48F2-A0F1-EC86376A03C3}"/>
    <cellStyle name="Normal 18 3 2 2 2 4" xfId="884" xr:uid="{00000000-0005-0000-0000-000074030000}"/>
    <cellStyle name="Normal 18 3 2 2 2 4 2" xfId="885" xr:uid="{00000000-0005-0000-0000-000075030000}"/>
    <cellStyle name="Normal 18 3 2 2 2 4 2 2" xfId="2275" xr:uid="{394623A6-A9EE-4CD5-B6AC-A96B2963CC13}"/>
    <cellStyle name="Normal 18 3 2 2 2 4 3" xfId="2274" xr:uid="{24144903-80E5-4DD7-8F82-CB62988ECF16}"/>
    <cellStyle name="Normal 18 3 2 2 2 5" xfId="886" xr:uid="{00000000-0005-0000-0000-000076030000}"/>
    <cellStyle name="Normal 18 3 2 2 2 5 2" xfId="887" xr:uid="{00000000-0005-0000-0000-000077030000}"/>
    <cellStyle name="Normal 18 3 2 2 2 5 2 2" xfId="2277" xr:uid="{33C5956F-59E2-428A-9CEB-6F2D6552C15D}"/>
    <cellStyle name="Normal 18 3 2 2 2 5 3" xfId="2276" xr:uid="{75DD0D19-123C-4CA5-984D-299CBCD2E82D}"/>
    <cellStyle name="Normal 18 3 2 2 2 6" xfId="888" xr:uid="{00000000-0005-0000-0000-000078030000}"/>
    <cellStyle name="Normal 18 3 2 2 2 6 2" xfId="2278" xr:uid="{6D95FD0C-866E-4334-8A45-6B87F39FA3A0}"/>
    <cellStyle name="Normal 18 3 2 2 2 7" xfId="2265" xr:uid="{0824783A-A63F-4E13-A35B-272EA70602BC}"/>
    <cellStyle name="Normal 18 3 2 2 3" xfId="889" xr:uid="{00000000-0005-0000-0000-000079030000}"/>
    <cellStyle name="Normal 18 3 2 2 3 2" xfId="890" xr:uid="{00000000-0005-0000-0000-00007A030000}"/>
    <cellStyle name="Normal 18 3 2 2 3 2 2" xfId="891" xr:uid="{00000000-0005-0000-0000-00007B030000}"/>
    <cellStyle name="Normal 18 3 2 2 3 2 2 2" xfId="2281" xr:uid="{0942D7F4-D2B7-4AB7-8C19-1C286AB4AD46}"/>
    <cellStyle name="Normal 18 3 2 2 3 2 3" xfId="2280" xr:uid="{30E6B5E9-1C7A-4E71-A52F-11020E812A94}"/>
    <cellStyle name="Normal 18 3 2 2 3 3" xfId="892" xr:uid="{00000000-0005-0000-0000-00007C030000}"/>
    <cellStyle name="Normal 18 3 2 2 3 3 2" xfId="2282" xr:uid="{E8AA3391-B59E-4FEF-AFB8-221D2ACC414F}"/>
    <cellStyle name="Normal 18 3 2 2 3 4" xfId="2279" xr:uid="{359D04D5-57FF-4EA5-8C69-93117A9041C6}"/>
    <cellStyle name="Normal 18 3 2 2 4" xfId="893" xr:uid="{00000000-0005-0000-0000-00007D030000}"/>
    <cellStyle name="Normal 18 3 2 2 4 2" xfId="894" xr:uid="{00000000-0005-0000-0000-00007E030000}"/>
    <cellStyle name="Normal 18 3 2 2 4 2 2" xfId="895" xr:uid="{00000000-0005-0000-0000-00007F030000}"/>
    <cellStyle name="Normal 18 3 2 2 4 2 2 2" xfId="2285" xr:uid="{59CD7F0B-374B-48CE-93E0-3B2A3DFE5A27}"/>
    <cellStyle name="Normal 18 3 2 2 4 2 3" xfId="2284" xr:uid="{071B5823-57B9-4B07-BC38-0DADB278DAE1}"/>
    <cellStyle name="Normal 18 3 2 2 4 3" xfId="896" xr:uid="{00000000-0005-0000-0000-000080030000}"/>
    <cellStyle name="Normal 18 3 2 2 4 3 2" xfId="2286" xr:uid="{D371BFE3-A223-44BF-A4E1-F4ADD8EA3C4F}"/>
    <cellStyle name="Normal 18 3 2 2 4 4" xfId="2283" xr:uid="{9058F229-837D-49CC-95C4-2D3C023DCDE0}"/>
    <cellStyle name="Normal 18 3 2 2 5" xfId="897" xr:uid="{00000000-0005-0000-0000-000081030000}"/>
    <cellStyle name="Normal 18 3 2 2 5 2" xfId="898" xr:uid="{00000000-0005-0000-0000-000082030000}"/>
    <cellStyle name="Normal 18 3 2 2 5 2 2" xfId="2288" xr:uid="{09591AC2-8BF6-466A-B575-13364F7FEC75}"/>
    <cellStyle name="Normal 18 3 2 2 5 3" xfId="2287" xr:uid="{A58A6714-AC2D-4FE6-AC8C-2698D2232589}"/>
    <cellStyle name="Normal 18 3 2 2 6" xfId="899" xr:uid="{00000000-0005-0000-0000-000083030000}"/>
    <cellStyle name="Normal 18 3 2 2 6 2" xfId="900" xr:uid="{00000000-0005-0000-0000-000084030000}"/>
    <cellStyle name="Normal 18 3 2 2 6 2 2" xfId="2290" xr:uid="{7C1DA151-B1D8-4EE4-8108-4C643D9D40F3}"/>
    <cellStyle name="Normal 18 3 2 2 6 3" xfId="2289" xr:uid="{F0B325CE-FA8A-4A46-93D0-175C0A3D064C}"/>
    <cellStyle name="Normal 18 3 2 2 7" xfId="901" xr:uid="{00000000-0005-0000-0000-000085030000}"/>
    <cellStyle name="Normal 18 3 2 2 7 2" xfId="2291" xr:uid="{B138CFB5-04B2-4FC9-BB9B-6E839BFA239B}"/>
    <cellStyle name="Normal 18 3 2 2 8" xfId="2264" xr:uid="{3C089089-6D67-4F88-B302-2A9271F6086F}"/>
    <cellStyle name="Normal 18 3 2 3" xfId="902" xr:uid="{00000000-0005-0000-0000-000086030000}"/>
    <cellStyle name="Normal 18 3 2 3 2" xfId="903" xr:uid="{00000000-0005-0000-0000-000087030000}"/>
    <cellStyle name="Normal 18 3 2 3 2 2" xfId="904" xr:uid="{00000000-0005-0000-0000-000088030000}"/>
    <cellStyle name="Normal 18 3 2 3 2 2 2" xfId="905" xr:uid="{00000000-0005-0000-0000-000089030000}"/>
    <cellStyle name="Normal 18 3 2 3 2 2 2 2" xfId="2295" xr:uid="{2B2CBFAC-9747-49AB-8B8A-41371030CA9E}"/>
    <cellStyle name="Normal 18 3 2 3 2 2 3" xfId="2294" xr:uid="{2A9B5B43-D874-44D5-82F9-9EF1ADF3B4D3}"/>
    <cellStyle name="Normal 18 3 2 3 2 3" xfId="906" xr:uid="{00000000-0005-0000-0000-00008A030000}"/>
    <cellStyle name="Normal 18 3 2 3 2 3 2" xfId="2296" xr:uid="{36E3BF52-9344-4197-B9A0-6E91BB3B3C3E}"/>
    <cellStyle name="Normal 18 3 2 3 2 4" xfId="2293" xr:uid="{55E828D2-43A7-4910-BD90-890549F300A6}"/>
    <cellStyle name="Normal 18 3 2 3 3" xfId="907" xr:uid="{00000000-0005-0000-0000-00008B030000}"/>
    <cellStyle name="Normal 18 3 2 3 3 2" xfId="908" xr:uid="{00000000-0005-0000-0000-00008C030000}"/>
    <cellStyle name="Normal 18 3 2 3 3 2 2" xfId="909" xr:uid="{00000000-0005-0000-0000-00008D030000}"/>
    <cellStyle name="Normal 18 3 2 3 3 2 2 2" xfId="2299" xr:uid="{4B49C2D8-F0D6-40AE-B963-08C67C900093}"/>
    <cellStyle name="Normal 18 3 2 3 3 2 3" xfId="2298" xr:uid="{30D8E24A-47F9-4D44-A489-ADFA7598011D}"/>
    <cellStyle name="Normal 18 3 2 3 3 3" xfId="910" xr:uid="{00000000-0005-0000-0000-00008E030000}"/>
    <cellStyle name="Normal 18 3 2 3 3 3 2" xfId="2300" xr:uid="{16338BAA-AB68-45CD-82BA-5D28996B3CBB}"/>
    <cellStyle name="Normal 18 3 2 3 3 4" xfId="2297" xr:uid="{971B7270-4F49-4FC6-B771-04D32E7CEFC8}"/>
    <cellStyle name="Normal 18 3 2 3 4" xfId="911" xr:uid="{00000000-0005-0000-0000-00008F030000}"/>
    <cellStyle name="Normal 18 3 2 3 4 2" xfId="912" xr:uid="{00000000-0005-0000-0000-000090030000}"/>
    <cellStyle name="Normal 18 3 2 3 4 2 2" xfId="2302" xr:uid="{9907E686-4453-427A-A990-C85D2693EC1F}"/>
    <cellStyle name="Normal 18 3 2 3 4 3" xfId="2301" xr:uid="{6BB5EDB0-89A8-4EB3-87D9-6EAA5487E331}"/>
    <cellStyle name="Normal 18 3 2 3 5" xfId="913" xr:uid="{00000000-0005-0000-0000-000091030000}"/>
    <cellStyle name="Normal 18 3 2 3 5 2" xfId="914" xr:uid="{00000000-0005-0000-0000-000092030000}"/>
    <cellStyle name="Normal 18 3 2 3 5 2 2" xfId="2304" xr:uid="{A8CE6232-CE23-43BE-BF99-3317A428EC02}"/>
    <cellStyle name="Normal 18 3 2 3 5 3" xfId="2303" xr:uid="{D3133DD9-858A-4C63-B88E-9C2CC050D082}"/>
    <cellStyle name="Normal 18 3 2 3 6" xfId="915" xr:uid="{00000000-0005-0000-0000-000093030000}"/>
    <cellStyle name="Normal 18 3 2 3 6 2" xfId="2305" xr:uid="{AC5AC505-56B1-4D97-B207-5DF6EDADBAA6}"/>
    <cellStyle name="Normal 18 3 2 3 7" xfId="2292" xr:uid="{49F4EA53-941E-42C5-84B7-B5DFAA22DA46}"/>
    <cellStyle name="Normal 18 3 2 4" xfId="916" xr:uid="{00000000-0005-0000-0000-000094030000}"/>
    <cellStyle name="Normal 18 3 2 4 2" xfId="917" xr:uid="{00000000-0005-0000-0000-000095030000}"/>
    <cellStyle name="Normal 18 3 2 4 2 2" xfId="918" xr:uid="{00000000-0005-0000-0000-000096030000}"/>
    <cellStyle name="Normal 18 3 2 4 2 2 2" xfId="919" xr:uid="{00000000-0005-0000-0000-000097030000}"/>
    <cellStyle name="Normal 18 3 2 4 2 2 2 2" xfId="2309" xr:uid="{1A3FEB41-142C-441A-AE56-8734927AFAE6}"/>
    <cellStyle name="Normal 18 3 2 4 2 2 3" xfId="2308" xr:uid="{91DFD260-6BD4-40C9-8011-0968B1040ED2}"/>
    <cellStyle name="Normal 18 3 2 4 2 3" xfId="920" xr:uid="{00000000-0005-0000-0000-000098030000}"/>
    <cellStyle name="Normal 18 3 2 4 2 3 2" xfId="2310" xr:uid="{75C0246E-49BD-4800-8CF2-03BCF1D5B002}"/>
    <cellStyle name="Normal 18 3 2 4 2 4" xfId="2307" xr:uid="{3A698820-1E55-4D4C-A363-53A289ACCA07}"/>
    <cellStyle name="Normal 18 3 2 4 3" xfId="921" xr:uid="{00000000-0005-0000-0000-000099030000}"/>
    <cellStyle name="Normal 18 3 2 4 3 2" xfId="922" xr:uid="{00000000-0005-0000-0000-00009A030000}"/>
    <cellStyle name="Normal 18 3 2 4 3 2 2" xfId="2312" xr:uid="{B1615B54-E739-4E40-94BC-63798208A5C7}"/>
    <cellStyle name="Normal 18 3 2 4 3 3" xfId="2311" xr:uid="{8765E685-01AA-43C0-AF89-14DB14A17DC4}"/>
    <cellStyle name="Normal 18 3 2 4 4" xfId="923" xr:uid="{00000000-0005-0000-0000-00009B030000}"/>
    <cellStyle name="Normal 18 3 2 4 4 2" xfId="924" xr:uid="{00000000-0005-0000-0000-00009C030000}"/>
    <cellStyle name="Normal 18 3 2 4 4 2 2" xfId="2314" xr:uid="{DEEE5357-3D8A-42A8-8565-0B17112C5424}"/>
    <cellStyle name="Normal 18 3 2 4 4 3" xfId="2313" xr:uid="{6ECC1872-7B76-4C67-90DA-4C10DA4B2104}"/>
    <cellStyle name="Normal 18 3 2 4 5" xfId="925" xr:uid="{00000000-0005-0000-0000-00009D030000}"/>
    <cellStyle name="Normal 18 3 2 4 5 2" xfId="2315" xr:uid="{E24D1F48-BBD2-491C-9F00-37612512577B}"/>
    <cellStyle name="Normal 18 3 2 4 6" xfId="2306" xr:uid="{0553A534-47AD-4635-9867-7FC8BD9E809A}"/>
    <cellStyle name="Normal 18 3 2 5" xfId="926" xr:uid="{00000000-0005-0000-0000-00009E030000}"/>
    <cellStyle name="Normal 18 3 2 5 2" xfId="927" xr:uid="{00000000-0005-0000-0000-00009F030000}"/>
    <cellStyle name="Normal 18 3 2 5 2 2" xfId="928" xr:uid="{00000000-0005-0000-0000-0000A0030000}"/>
    <cellStyle name="Normal 18 3 2 5 2 2 2" xfId="929" xr:uid="{00000000-0005-0000-0000-0000A1030000}"/>
    <cellStyle name="Normal 18 3 2 5 2 2 2 2" xfId="2319" xr:uid="{1885F79C-FDA2-40A0-9228-AA029590AEF3}"/>
    <cellStyle name="Normal 18 3 2 5 2 2 3" xfId="2318" xr:uid="{9C61C731-3B7C-4F1C-9061-40A064D97FFD}"/>
    <cellStyle name="Normal 18 3 2 5 2 3" xfId="930" xr:uid="{00000000-0005-0000-0000-0000A2030000}"/>
    <cellStyle name="Normal 18 3 2 5 2 3 2" xfId="2320" xr:uid="{DC6728EA-D7F7-49E1-B8CA-58E070E841F7}"/>
    <cellStyle name="Normal 18 3 2 5 2 4" xfId="2317" xr:uid="{2C34CDF6-92A7-4F68-97F8-FE8521779C64}"/>
    <cellStyle name="Normal 18 3 2 5 3" xfId="931" xr:uid="{00000000-0005-0000-0000-0000A3030000}"/>
    <cellStyle name="Normal 18 3 2 5 3 2" xfId="932" xr:uid="{00000000-0005-0000-0000-0000A4030000}"/>
    <cellStyle name="Normal 18 3 2 5 3 2 2" xfId="2322" xr:uid="{BE21D883-928B-411E-8296-E9F9CB24C1B5}"/>
    <cellStyle name="Normal 18 3 2 5 3 3" xfId="2321" xr:uid="{F6B439F0-F62F-4D80-9E6E-D1C5E8682238}"/>
    <cellStyle name="Normal 18 3 2 5 4" xfId="933" xr:uid="{00000000-0005-0000-0000-0000A5030000}"/>
    <cellStyle name="Normal 18 3 2 5 4 2" xfId="934" xr:uid="{00000000-0005-0000-0000-0000A6030000}"/>
    <cellStyle name="Normal 18 3 2 5 4 2 2" xfId="2324" xr:uid="{F9A4F2E6-9F6E-4765-A878-56C7287DE681}"/>
    <cellStyle name="Normal 18 3 2 5 4 3" xfId="2323" xr:uid="{9A8C3848-BE7B-438B-B46C-455B90DAD80C}"/>
    <cellStyle name="Normal 18 3 2 5 5" xfId="935" xr:uid="{00000000-0005-0000-0000-0000A7030000}"/>
    <cellStyle name="Normal 18 3 2 5 5 2" xfId="2325" xr:uid="{021F6E0D-7D8A-4860-94BF-5F617C60C69B}"/>
    <cellStyle name="Normal 18 3 2 5 6" xfId="2316" xr:uid="{792BC340-01C8-4994-AC19-F69FF211C2F5}"/>
    <cellStyle name="Normal 18 3 2 6" xfId="936" xr:uid="{00000000-0005-0000-0000-0000A8030000}"/>
    <cellStyle name="Normal 18 3 2 6 2" xfId="937" xr:uid="{00000000-0005-0000-0000-0000A9030000}"/>
    <cellStyle name="Normal 18 3 2 6 2 2" xfId="938" xr:uid="{00000000-0005-0000-0000-0000AA030000}"/>
    <cellStyle name="Normal 18 3 2 6 2 2 2" xfId="2328" xr:uid="{2117F282-4CCE-49DB-9779-3C6836291A9C}"/>
    <cellStyle name="Normal 18 3 2 6 2 3" xfId="2327" xr:uid="{023B2855-5ED9-444B-9DB3-05BA9F280E62}"/>
    <cellStyle name="Normal 18 3 2 6 3" xfId="939" xr:uid="{00000000-0005-0000-0000-0000AB030000}"/>
    <cellStyle name="Normal 18 3 2 6 3 2" xfId="2329" xr:uid="{D1DF03BD-9C33-44CD-9BA7-5F76321DDFD1}"/>
    <cellStyle name="Normal 18 3 2 6 4" xfId="2326" xr:uid="{118C6F73-AA9B-4A9C-946B-0F7C5907B681}"/>
    <cellStyle name="Normal 18 3 2 7" xfId="940" xr:uid="{00000000-0005-0000-0000-0000AC030000}"/>
    <cellStyle name="Normal 18 3 2 7 2" xfId="941" xr:uid="{00000000-0005-0000-0000-0000AD030000}"/>
    <cellStyle name="Normal 18 3 2 7 2 2" xfId="942" xr:uid="{00000000-0005-0000-0000-0000AE030000}"/>
    <cellStyle name="Normal 18 3 2 7 2 2 2" xfId="2332" xr:uid="{2BA4D33F-9DF2-4A80-AEEC-5C0AC14967A1}"/>
    <cellStyle name="Normal 18 3 2 7 2 3" xfId="2331" xr:uid="{6E55660B-FA13-4457-952B-11938C348DFA}"/>
    <cellStyle name="Normal 18 3 2 7 3" xfId="943" xr:uid="{00000000-0005-0000-0000-0000AF030000}"/>
    <cellStyle name="Normal 18 3 2 7 3 2" xfId="2333" xr:uid="{45E45B77-09FC-4AD3-9ED1-B76586E0185A}"/>
    <cellStyle name="Normal 18 3 2 7 4" xfId="2330" xr:uid="{BED06560-1305-41D3-B3E3-67E55CC7D908}"/>
    <cellStyle name="Normal 18 3 2 8" xfId="944" xr:uid="{00000000-0005-0000-0000-0000B0030000}"/>
    <cellStyle name="Normal 18 3 2 8 2" xfId="945" xr:uid="{00000000-0005-0000-0000-0000B1030000}"/>
    <cellStyle name="Normal 18 3 2 8 2 2" xfId="2335" xr:uid="{552D0875-09F2-4CB1-8292-0DF8B7D7CEA5}"/>
    <cellStyle name="Normal 18 3 2 8 3" xfId="2334" xr:uid="{95D18087-33FB-427F-AF38-DC64A50ABAC5}"/>
    <cellStyle name="Normal 18 3 2 9" xfId="946" xr:uid="{00000000-0005-0000-0000-0000B2030000}"/>
    <cellStyle name="Normal 18 3 2 9 2" xfId="947" xr:uid="{00000000-0005-0000-0000-0000B3030000}"/>
    <cellStyle name="Normal 18 3 2 9 2 2" xfId="2337" xr:uid="{1CB77B28-25D6-41B4-8D02-65CE1A8D03A0}"/>
    <cellStyle name="Normal 18 3 2 9 3" xfId="2336" xr:uid="{D0DDE7C1-55B0-4AFB-83A3-D3C6141693E3}"/>
    <cellStyle name="Normal 18 3 3" xfId="948" xr:uid="{00000000-0005-0000-0000-0000B4030000}"/>
    <cellStyle name="Normal 18 3 3 2" xfId="949" xr:uid="{00000000-0005-0000-0000-0000B5030000}"/>
    <cellStyle name="Normal 18 3 3 2 2" xfId="950" xr:uid="{00000000-0005-0000-0000-0000B6030000}"/>
    <cellStyle name="Normal 18 3 3 2 2 2" xfId="951" xr:uid="{00000000-0005-0000-0000-0000B7030000}"/>
    <cellStyle name="Normal 18 3 3 2 2 2 2" xfId="952" xr:uid="{00000000-0005-0000-0000-0000B8030000}"/>
    <cellStyle name="Normal 18 3 3 2 2 2 2 2" xfId="2342" xr:uid="{DDAC1EED-8166-4F66-BC25-604780204DA7}"/>
    <cellStyle name="Normal 18 3 3 2 2 2 3" xfId="2341" xr:uid="{710364D2-6DDA-4199-837E-CC07B4C7BF91}"/>
    <cellStyle name="Normal 18 3 3 2 2 3" xfId="953" xr:uid="{00000000-0005-0000-0000-0000B9030000}"/>
    <cellStyle name="Normal 18 3 3 2 2 3 2" xfId="2343" xr:uid="{03102FCF-2254-4873-B275-ABEDA3C29318}"/>
    <cellStyle name="Normal 18 3 3 2 2 4" xfId="2340" xr:uid="{40614974-A26F-4DD3-BE08-24077C7CC749}"/>
    <cellStyle name="Normal 18 3 3 2 3" xfId="954" xr:uid="{00000000-0005-0000-0000-0000BA030000}"/>
    <cellStyle name="Normal 18 3 3 2 3 2" xfId="955" xr:uid="{00000000-0005-0000-0000-0000BB030000}"/>
    <cellStyle name="Normal 18 3 3 2 3 2 2" xfId="956" xr:uid="{00000000-0005-0000-0000-0000BC030000}"/>
    <cellStyle name="Normal 18 3 3 2 3 2 2 2" xfId="2346" xr:uid="{C0F33E65-BBF8-4251-A59D-5A9C94847E8E}"/>
    <cellStyle name="Normal 18 3 3 2 3 2 3" xfId="2345" xr:uid="{5EDDE96F-8239-4B4A-8B98-7E7173092A17}"/>
    <cellStyle name="Normal 18 3 3 2 3 3" xfId="957" xr:uid="{00000000-0005-0000-0000-0000BD030000}"/>
    <cellStyle name="Normal 18 3 3 2 3 3 2" xfId="2347" xr:uid="{66F8F8DA-EABA-42C3-AF64-A59843660522}"/>
    <cellStyle name="Normal 18 3 3 2 3 4" xfId="2344" xr:uid="{82F427C5-4BAF-4F24-96C5-3F0EC00AA996}"/>
    <cellStyle name="Normal 18 3 3 2 4" xfId="958" xr:uid="{00000000-0005-0000-0000-0000BE030000}"/>
    <cellStyle name="Normal 18 3 3 2 4 2" xfId="959" xr:uid="{00000000-0005-0000-0000-0000BF030000}"/>
    <cellStyle name="Normal 18 3 3 2 4 2 2" xfId="2349" xr:uid="{444179DD-09F2-427B-B913-8FBF5EBD98AF}"/>
    <cellStyle name="Normal 18 3 3 2 4 3" xfId="2348" xr:uid="{22159B7B-0623-48D0-AB63-9C0DB553A100}"/>
    <cellStyle name="Normal 18 3 3 2 5" xfId="960" xr:uid="{00000000-0005-0000-0000-0000C0030000}"/>
    <cellStyle name="Normal 18 3 3 2 5 2" xfId="961" xr:uid="{00000000-0005-0000-0000-0000C1030000}"/>
    <cellStyle name="Normal 18 3 3 2 5 2 2" xfId="2351" xr:uid="{75D4115E-4105-4AAC-A427-115B1FF2FC61}"/>
    <cellStyle name="Normal 18 3 3 2 5 3" xfId="2350" xr:uid="{28499CEF-4B49-44FD-813E-57C0C4AC84CE}"/>
    <cellStyle name="Normal 18 3 3 2 6" xfId="962" xr:uid="{00000000-0005-0000-0000-0000C2030000}"/>
    <cellStyle name="Normal 18 3 3 2 6 2" xfId="2352" xr:uid="{42F10C97-3ACE-4DF8-B3FF-52F086942D08}"/>
    <cellStyle name="Normal 18 3 3 2 7" xfId="2339" xr:uid="{D9AF02D5-806F-4F5D-9332-3AC9267FBFB6}"/>
    <cellStyle name="Normal 18 3 3 3" xfId="963" xr:uid="{00000000-0005-0000-0000-0000C3030000}"/>
    <cellStyle name="Normal 18 3 3 3 2" xfId="964" xr:uid="{00000000-0005-0000-0000-0000C4030000}"/>
    <cellStyle name="Normal 18 3 3 3 2 2" xfId="965" xr:uid="{00000000-0005-0000-0000-0000C5030000}"/>
    <cellStyle name="Normal 18 3 3 3 2 2 2" xfId="2355" xr:uid="{3B16ABA7-FBB4-46A0-8A06-155084E1A32B}"/>
    <cellStyle name="Normal 18 3 3 3 2 3" xfId="2354" xr:uid="{575A87ED-0F74-49A1-9AC9-FF1C255D053D}"/>
    <cellStyle name="Normal 18 3 3 3 3" xfId="966" xr:uid="{00000000-0005-0000-0000-0000C6030000}"/>
    <cellStyle name="Normal 18 3 3 3 3 2" xfId="2356" xr:uid="{BDCDB268-1A59-4AF8-B889-795FB851A8B5}"/>
    <cellStyle name="Normal 18 3 3 3 4" xfId="2353" xr:uid="{B11D901E-CBA4-4587-96DD-E94F92C89C0C}"/>
    <cellStyle name="Normal 18 3 3 4" xfId="967" xr:uid="{00000000-0005-0000-0000-0000C7030000}"/>
    <cellStyle name="Normal 18 3 3 4 2" xfId="968" xr:uid="{00000000-0005-0000-0000-0000C8030000}"/>
    <cellStyle name="Normal 18 3 3 4 2 2" xfId="969" xr:uid="{00000000-0005-0000-0000-0000C9030000}"/>
    <cellStyle name="Normal 18 3 3 4 2 2 2" xfId="2359" xr:uid="{5A94BECE-F64E-4D47-875D-8F25D3E134F0}"/>
    <cellStyle name="Normal 18 3 3 4 2 3" xfId="2358" xr:uid="{DE834E0B-5B76-47F6-A2AA-A500F754EF66}"/>
    <cellStyle name="Normal 18 3 3 4 3" xfId="970" xr:uid="{00000000-0005-0000-0000-0000CA030000}"/>
    <cellStyle name="Normal 18 3 3 4 3 2" xfId="2360" xr:uid="{CD1760E0-413A-43FA-B7A3-E9169FD79406}"/>
    <cellStyle name="Normal 18 3 3 4 4" xfId="2357" xr:uid="{5B0DF497-2FE8-4FE6-8D75-E489245E9778}"/>
    <cellStyle name="Normal 18 3 3 5" xfId="971" xr:uid="{00000000-0005-0000-0000-0000CB030000}"/>
    <cellStyle name="Normal 18 3 3 5 2" xfId="972" xr:uid="{00000000-0005-0000-0000-0000CC030000}"/>
    <cellStyle name="Normal 18 3 3 5 2 2" xfId="2362" xr:uid="{BE918897-9929-4754-9C99-A3C27519916C}"/>
    <cellStyle name="Normal 18 3 3 5 3" xfId="2361" xr:uid="{EA2E1A49-7971-4D3A-8154-C9D09B1FC4AB}"/>
    <cellStyle name="Normal 18 3 3 6" xfId="973" xr:uid="{00000000-0005-0000-0000-0000CD030000}"/>
    <cellStyle name="Normal 18 3 3 6 2" xfId="974" xr:uid="{00000000-0005-0000-0000-0000CE030000}"/>
    <cellStyle name="Normal 18 3 3 6 2 2" xfId="2364" xr:uid="{42360CBD-4709-4F6F-ADFD-EEB38BBAD9AD}"/>
    <cellStyle name="Normal 18 3 3 6 3" xfId="2363" xr:uid="{040CA7D7-9CB7-489C-8D7D-94CC87C89EF9}"/>
    <cellStyle name="Normal 18 3 3 7" xfId="975" xr:uid="{00000000-0005-0000-0000-0000CF030000}"/>
    <cellStyle name="Normal 18 3 3 7 2" xfId="2365" xr:uid="{BA2622AE-3FFA-4ACB-AD82-3EF0B6B69EC1}"/>
    <cellStyle name="Normal 18 3 3 8" xfId="2338" xr:uid="{BEFC3765-3315-498D-B186-65D9FAD265ED}"/>
    <cellStyle name="Normal 18 3 4" xfId="976" xr:uid="{00000000-0005-0000-0000-0000D0030000}"/>
    <cellStyle name="Normal 18 3 4 2" xfId="977" xr:uid="{00000000-0005-0000-0000-0000D1030000}"/>
    <cellStyle name="Normal 18 3 4 2 2" xfId="978" xr:uid="{00000000-0005-0000-0000-0000D2030000}"/>
    <cellStyle name="Normal 18 3 4 2 2 2" xfId="979" xr:uid="{00000000-0005-0000-0000-0000D3030000}"/>
    <cellStyle name="Normal 18 3 4 2 2 2 2" xfId="2369" xr:uid="{77B2A301-3A09-43CF-B3C1-02264CB962D3}"/>
    <cellStyle name="Normal 18 3 4 2 2 3" xfId="2368" xr:uid="{3DAEFDDB-25FB-4EA6-A41C-6D4835EC6C6C}"/>
    <cellStyle name="Normal 18 3 4 2 3" xfId="980" xr:uid="{00000000-0005-0000-0000-0000D4030000}"/>
    <cellStyle name="Normal 18 3 4 2 3 2" xfId="2370" xr:uid="{94D33FE1-B7DD-4C87-B565-794F54CC8F53}"/>
    <cellStyle name="Normal 18 3 4 2 4" xfId="2367" xr:uid="{BCA8BD80-1C27-425B-B24E-4A243AB69CD6}"/>
    <cellStyle name="Normal 18 3 4 3" xfId="981" xr:uid="{00000000-0005-0000-0000-0000D5030000}"/>
    <cellStyle name="Normal 18 3 4 3 2" xfId="982" xr:uid="{00000000-0005-0000-0000-0000D6030000}"/>
    <cellStyle name="Normal 18 3 4 3 2 2" xfId="983" xr:uid="{00000000-0005-0000-0000-0000D7030000}"/>
    <cellStyle name="Normal 18 3 4 3 2 2 2" xfId="2373" xr:uid="{D3B3D14A-B31A-4382-8CF7-6CB31763A432}"/>
    <cellStyle name="Normal 18 3 4 3 2 3" xfId="2372" xr:uid="{A671F3CD-A521-4A75-902F-96695D663854}"/>
    <cellStyle name="Normal 18 3 4 3 3" xfId="984" xr:uid="{00000000-0005-0000-0000-0000D8030000}"/>
    <cellStyle name="Normal 18 3 4 3 3 2" xfId="2374" xr:uid="{57F3C3F8-EA21-419A-9F4B-60E0A0FBB79C}"/>
    <cellStyle name="Normal 18 3 4 3 4" xfId="2371" xr:uid="{63B90C12-6F63-4E85-80E2-B951860484FC}"/>
    <cellStyle name="Normal 18 3 4 4" xfId="985" xr:uid="{00000000-0005-0000-0000-0000D9030000}"/>
    <cellStyle name="Normal 18 3 4 4 2" xfId="986" xr:uid="{00000000-0005-0000-0000-0000DA030000}"/>
    <cellStyle name="Normal 18 3 4 4 2 2" xfId="2376" xr:uid="{B3636EC2-2336-4D2A-8C44-9444D022FD0F}"/>
    <cellStyle name="Normal 18 3 4 4 3" xfId="2375" xr:uid="{BDE3FD97-CE80-4F4A-86F0-051385092DC3}"/>
    <cellStyle name="Normal 18 3 4 5" xfId="987" xr:uid="{00000000-0005-0000-0000-0000DB030000}"/>
    <cellStyle name="Normal 18 3 4 5 2" xfId="988" xr:uid="{00000000-0005-0000-0000-0000DC030000}"/>
    <cellStyle name="Normal 18 3 4 5 2 2" xfId="2378" xr:uid="{1203A227-F1C0-4D6A-9DAC-A677340EA91C}"/>
    <cellStyle name="Normal 18 3 4 5 3" xfId="2377" xr:uid="{8606C0BB-2A73-4281-A964-9D808E8DEC63}"/>
    <cellStyle name="Normal 18 3 4 6" xfId="989" xr:uid="{00000000-0005-0000-0000-0000DD030000}"/>
    <cellStyle name="Normal 18 3 4 6 2" xfId="2379" xr:uid="{C4E6DB60-5DA3-4FB9-99A9-F3AC6CFCF88B}"/>
    <cellStyle name="Normal 18 3 4 7" xfId="2366" xr:uid="{5E9BEABD-7F16-4C55-83B2-78EAABA5ABC9}"/>
    <cellStyle name="Normal 18 3 5" xfId="990" xr:uid="{00000000-0005-0000-0000-0000DE030000}"/>
    <cellStyle name="Normal 18 3 5 2" xfId="991" xr:uid="{00000000-0005-0000-0000-0000DF030000}"/>
    <cellStyle name="Normal 18 3 5 2 2" xfId="992" xr:uid="{00000000-0005-0000-0000-0000E0030000}"/>
    <cellStyle name="Normal 18 3 5 2 2 2" xfId="993" xr:uid="{00000000-0005-0000-0000-0000E1030000}"/>
    <cellStyle name="Normal 18 3 5 2 2 2 2" xfId="2383" xr:uid="{DDC7EEC6-1194-453A-B64C-9ED902164636}"/>
    <cellStyle name="Normal 18 3 5 2 2 3" xfId="2382" xr:uid="{4E9E23AA-8C42-4DA6-A9AC-48BC3C838DA2}"/>
    <cellStyle name="Normal 18 3 5 2 3" xfId="994" xr:uid="{00000000-0005-0000-0000-0000E2030000}"/>
    <cellStyle name="Normal 18 3 5 2 3 2" xfId="2384" xr:uid="{B98F9A6F-9AB3-467C-AFC4-667A5814305D}"/>
    <cellStyle name="Normal 18 3 5 2 4" xfId="2381" xr:uid="{A392DFF2-1551-4977-A4B1-CD8693F8459A}"/>
    <cellStyle name="Normal 18 3 5 3" xfId="995" xr:uid="{00000000-0005-0000-0000-0000E3030000}"/>
    <cellStyle name="Normal 18 3 5 3 2" xfId="996" xr:uid="{00000000-0005-0000-0000-0000E4030000}"/>
    <cellStyle name="Normal 18 3 5 3 2 2" xfId="2386" xr:uid="{FE892393-458C-48DF-85BB-F6C2A0FFB6ED}"/>
    <cellStyle name="Normal 18 3 5 3 3" xfId="2385" xr:uid="{BA951D99-CA0A-40DE-B47A-9FA6D9C1D2B8}"/>
    <cellStyle name="Normal 18 3 5 4" xfId="997" xr:uid="{00000000-0005-0000-0000-0000E5030000}"/>
    <cellStyle name="Normal 18 3 5 4 2" xfId="998" xr:uid="{00000000-0005-0000-0000-0000E6030000}"/>
    <cellStyle name="Normal 18 3 5 4 2 2" xfId="2388" xr:uid="{D1DB4EF2-975E-4E9C-9CC9-8F82E7793C62}"/>
    <cellStyle name="Normal 18 3 5 4 3" xfId="2387" xr:uid="{D370FFCF-383C-41D1-BFF4-6BAD304CAB1C}"/>
    <cellStyle name="Normal 18 3 5 5" xfId="999" xr:uid="{00000000-0005-0000-0000-0000E7030000}"/>
    <cellStyle name="Normal 18 3 5 5 2" xfId="2389" xr:uid="{7FE35BCF-993D-43A7-95D0-C2DEF8F64E92}"/>
    <cellStyle name="Normal 18 3 5 6" xfId="2380" xr:uid="{EDBAEEBD-3022-4CE7-98FE-C0D7423C2652}"/>
    <cellStyle name="Normal 18 3 6" xfId="1000" xr:uid="{00000000-0005-0000-0000-0000E8030000}"/>
    <cellStyle name="Normal 18 3 6 2" xfId="1001" xr:uid="{00000000-0005-0000-0000-0000E9030000}"/>
    <cellStyle name="Normal 18 3 6 2 2" xfId="1002" xr:uid="{00000000-0005-0000-0000-0000EA030000}"/>
    <cellStyle name="Normal 18 3 6 2 2 2" xfId="1003" xr:uid="{00000000-0005-0000-0000-0000EB030000}"/>
    <cellStyle name="Normal 18 3 6 2 2 2 2" xfId="2393" xr:uid="{EA8A2E5F-7C29-4D2C-84B8-80AB7C59F885}"/>
    <cellStyle name="Normal 18 3 6 2 2 3" xfId="2392" xr:uid="{29CA046B-3AFE-46AA-AC05-70FC7191455C}"/>
    <cellStyle name="Normal 18 3 6 2 3" xfId="1004" xr:uid="{00000000-0005-0000-0000-0000EC030000}"/>
    <cellStyle name="Normal 18 3 6 2 3 2" xfId="2394" xr:uid="{44E1D7D0-4EA0-41F2-8886-6DD41140269E}"/>
    <cellStyle name="Normal 18 3 6 2 4" xfId="2391" xr:uid="{A2150EB9-5F58-4F8E-8403-9C06A746341E}"/>
    <cellStyle name="Normal 18 3 6 3" xfId="1005" xr:uid="{00000000-0005-0000-0000-0000ED030000}"/>
    <cellStyle name="Normal 18 3 6 3 2" xfId="1006" xr:uid="{00000000-0005-0000-0000-0000EE030000}"/>
    <cellStyle name="Normal 18 3 6 3 2 2" xfId="2396" xr:uid="{8C622210-12BE-49DC-9B21-9C9E1B9D5615}"/>
    <cellStyle name="Normal 18 3 6 3 3" xfId="2395" xr:uid="{89A9E18F-06E2-467B-BB51-81BB033CDC47}"/>
    <cellStyle name="Normal 18 3 6 4" xfId="1007" xr:uid="{00000000-0005-0000-0000-0000EF030000}"/>
    <cellStyle name="Normal 18 3 6 4 2" xfId="1008" xr:uid="{00000000-0005-0000-0000-0000F0030000}"/>
    <cellStyle name="Normal 18 3 6 4 2 2" xfId="2398" xr:uid="{C7B341CC-A1CE-47B9-929A-7378D999148B}"/>
    <cellStyle name="Normal 18 3 6 4 3" xfId="2397" xr:uid="{C33CAC42-87D1-45B0-A4E7-5BB8DA1A575D}"/>
    <cellStyle name="Normal 18 3 6 5" xfId="1009" xr:uid="{00000000-0005-0000-0000-0000F1030000}"/>
    <cellStyle name="Normal 18 3 6 5 2" xfId="2399" xr:uid="{D1C0B811-A0FF-4470-A2AD-33A6F2D61020}"/>
    <cellStyle name="Normal 18 3 6 6" xfId="2390" xr:uid="{CB94EF7E-6C30-4116-927B-61596E2921EF}"/>
    <cellStyle name="Normal 18 3 7" xfId="1010" xr:uid="{00000000-0005-0000-0000-0000F2030000}"/>
    <cellStyle name="Normal 18 3 7 2" xfId="1011" xr:uid="{00000000-0005-0000-0000-0000F3030000}"/>
    <cellStyle name="Normal 18 3 7 2 2" xfId="1012" xr:uid="{00000000-0005-0000-0000-0000F4030000}"/>
    <cellStyle name="Normal 18 3 7 2 2 2" xfId="2402" xr:uid="{88C778ED-44A2-4821-B913-0899103EF240}"/>
    <cellStyle name="Normal 18 3 7 2 3" xfId="2401" xr:uid="{89FABA58-0C68-4745-A644-45C9533A9973}"/>
    <cellStyle name="Normal 18 3 7 3" xfId="1013" xr:uid="{00000000-0005-0000-0000-0000F5030000}"/>
    <cellStyle name="Normal 18 3 7 3 2" xfId="2403" xr:uid="{A2E6A95A-275B-45A8-B332-04D1FBF4AB2F}"/>
    <cellStyle name="Normal 18 3 7 4" xfId="2400" xr:uid="{D818018E-FD0E-40DA-95F7-C3E0D7158027}"/>
    <cellStyle name="Normal 18 3 8" xfId="1014" xr:uid="{00000000-0005-0000-0000-0000F6030000}"/>
    <cellStyle name="Normal 18 3 8 2" xfId="1015" xr:uid="{00000000-0005-0000-0000-0000F7030000}"/>
    <cellStyle name="Normal 18 3 8 2 2" xfId="1016" xr:uid="{00000000-0005-0000-0000-0000F8030000}"/>
    <cellStyle name="Normal 18 3 8 2 2 2" xfId="2406" xr:uid="{FCADB156-8D80-4AA9-B205-866AE294CCFB}"/>
    <cellStyle name="Normal 18 3 8 2 3" xfId="2405" xr:uid="{B200FC4B-77C7-4980-8797-BB5B9A331989}"/>
    <cellStyle name="Normal 18 3 8 3" xfId="1017" xr:uid="{00000000-0005-0000-0000-0000F9030000}"/>
    <cellStyle name="Normal 18 3 8 3 2" xfId="2407" xr:uid="{C9178C93-4AF1-418B-B85B-8AA7076649BD}"/>
    <cellStyle name="Normal 18 3 8 4" xfId="2404" xr:uid="{D5E848F3-BCAE-4535-BBE9-14F3C6B7B0BB}"/>
    <cellStyle name="Normal 18 3 9" xfId="1018" xr:uid="{00000000-0005-0000-0000-0000FA030000}"/>
    <cellStyle name="Normal 18 3 9 2" xfId="1019" xr:uid="{00000000-0005-0000-0000-0000FB030000}"/>
    <cellStyle name="Normal 18 3 9 2 2" xfId="2409" xr:uid="{BC8E15D8-0B34-4B1E-A860-0850B5D0942E}"/>
    <cellStyle name="Normal 18 3 9 3" xfId="2408" xr:uid="{48C2CDCF-426F-45A9-9ACA-35222313350A}"/>
    <cellStyle name="Normal 18 4" xfId="1020" xr:uid="{00000000-0005-0000-0000-0000FC030000}"/>
    <cellStyle name="Normal 18 4 10" xfId="1021" xr:uid="{00000000-0005-0000-0000-0000FD030000}"/>
    <cellStyle name="Normal 18 4 10 2" xfId="1022" xr:uid="{00000000-0005-0000-0000-0000FE030000}"/>
    <cellStyle name="Normal 18 4 10 2 2" xfId="2412" xr:uid="{3EB19A4D-1144-4746-B745-9E0EB8C048ED}"/>
    <cellStyle name="Normal 18 4 10 3" xfId="2411" xr:uid="{2470B4A7-931D-4D70-A87C-3212CE4F0CEB}"/>
    <cellStyle name="Normal 18 4 11" xfId="1023" xr:uid="{00000000-0005-0000-0000-0000FF030000}"/>
    <cellStyle name="Normal 18 4 11 2" xfId="2413" xr:uid="{388F4367-4B4F-4965-860E-DDA1F2B8D0A7}"/>
    <cellStyle name="Normal 18 4 12" xfId="2410" xr:uid="{5FD7CF16-CDB5-48C5-BFE5-D7C573F0BDC3}"/>
    <cellStyle name="Normal 18 4 2" xfId="1024" xr:uid="{00000000-0005-0000-0000-000000040000}"/>
    <cellStyle name="Normal 18 4 2 10" xfId="1025" xr:uid="{00000000-0005-0000-0000-000001040000}"/>
    <cellStyle name="Normal 18 4 2 10 2" xfId="2415" xr:uid="{FBC791D8-368E-48D3-89EE-926C34933298}"/>
    <cellStyle name="Normal 18 4 2 11" xfId="2414" xr:uid="{457C2295-5468-4A2C-B02B-051B60BEE6BE}"/>
    <cellStyle name="Normal 18 4 2 2" xfId="1026" xr:uid="{00000000-0005-0000-0000-000002040000}"/>
    <cellStyle name="Normal 18 4 2 2 2" xfId="1027" xr:uid="{00000000-0005-0000-0000-000003040000}"/>
    <cellStyle name="Normal 18 4 2 2 2 2" xfId="1028" xr:uid="{00000000-0005-0000-0000-000004040000}"/>
    <cellStyle name="Normal 18 4 2 2 2 2 2" xfId="1029" xr:uid="{00000000-0005-0000-0000-000005040000}"/>
    <cellStyle name="Normal 18 4 2 2 2 2 2 2" xfId="1030" xr:uid="{00000000-0005-0000-0000-000006040000}"/>
    <cellStyle name="Normal 18 4 2 2 2 2 2 2 2" xfId="2420" xr:uid="{9AF81CB1-5F08-4C9E-9CD6-D410C72D12B0}"/>
    <cellStyle name="Normal 18 4 2 2 2 2 2 3" xfId="2419" xr:uid="{450D9ABC-F121-4FB8-A8D0-77AFB2D38BE1}"/>
    <cellStyle name="Normal 18 4 2 2 2 2 3" xfId="1031" xr:uid="{00000000-0005-0000-0000-000007040000}"/>
    <cellStyle name="Normal 18 4 2 2 2 2 3 2" xfId="2421" xr:uid="{C3E936BB-8380-42AF-8EC2-078BB48F0091}"/>
    <cellStyle name="Normal 18 4 2 2 2 2 4" xfId="2418" xr:uid="{1E4BED54-3D80-49E7-9718-5D02404CC1A6}"/>
    <cellStyle name="Normal 18 4 2 2 2 3" xfId="1032" xr:uid="{00000000-0005-0000-0000-000008040000}"/>
    <cellStyle name="Normal 18 4 2 2 2 3 2" xfId="1033" xr:uid="{00000000-0005-0000-0000-000009040000}"/>
    <cellStyle name="Normal 18 4 2 2 2 3 2 2" xfId="1034" xr:uid="{00000000-0005-0000-0000-00000A040000}"/>
    <cellStyle name="Normal 18 4 2 2 2 3 2 2 2" xfId="2424" xr:uid="{94229892-6BF7-4FE1-BE3B-768A56C1E376}"/>
    <cellStyle name="Normal 18 4 2 2 2 3 2 3" xfId="2423" xr:uid="{75BC1000-DE3A-4F2D-8D10-0785294E0D09}"/>
    <cellStyle name="Normal 18 4 2 2 2 3 3" xfId="1035" xr:uid="{00000000-0005-0000-0000-00000B040000}"/>
    <cellStyle name="Normal 18 4 2 2 2 3 3 2" xfId="2425" xr:uid="{771C4E21-FA9C-4C8A-A8C4-4733ACB69092}"/>
    <cellStyle name="Normal 18 4 2 2 2 3 4" xfId="2422" xr:uid="{61069B1C-DF81-4B33-9905-4AF09EDAB3B7}"/>
    <cellStyle name="Normal 18 4 2 2 2 4" xfId="1036" xr:uid="{00000000-0005-0000-0000-00000C040000}"/>
    <cellStyle name="Normal 18 4 2 2 2 4 2" xfId="1037" xr:uid="{00000000-0005-0000-0000-00000D040000}"/>
    <cellStyle name="Normal 18 4 2 2 2 4 2 2" xfId="2427" xr:uid="{2DC8B7FB-531F-457D-9345-47B473D90B33}"/>
    <cellStyle name="Normal 18 4 2 2 2 4 3" xfId="2426" xr:uid="{2E672889-B372-4C18-B0F8-0AAD44AA0085}"/>
    <cellStyle name="Normal 18 4 2 2 2 5" xfId="1038" xr:uid="{00000000-0005-0000-0000-00000E040000}"/>
    <cellStyle name="Normal 18 4 2 2 2 5 2" xfId="1039" xr:uid="{00000000-0005-0000-0000-00000F040000}"/>
    <cellStyle name="Normal 18 4 2 2 2 5 2 2" xfId="2429" xr:uid="{BDC7EA39-598D-47B4-AF78-AC84475A82E0}"/>
    <cellStyle name="Normal 18 4 2 2 2 5 3" xfId="2428" xr:uid="{B93EA617-6FEF-4449-9435-3CDA97258687}"/>
    <cellStyle name="Normal 18 4 2 2 2 6" xfId="1040" xr:uid="{00000000-0005-0000-0000-000010040000}"/>
    <cellStyle name="Normal 18 4 2 2 2 6 2" xfId="2430" xr:uid="{3E9AF0A7-6F0B-4F97-AB3B-E6D6E5A33203}"/>
    <cellStyle name="Normal 18 4 2 2 2 7" xfId="2417" xr:uid="{B1B2DF2A-E5C6-40EC-A1F7-0D9A2CF82824}"/>
    <cellStyle name="Normal 18 4 2 2 3" xfId="1041" xr:uid="{00000000-0005-0000-0000-000011040000}"/>
    <cellStyle name="Normal 18 4 2 2 3 2" xfId="1042" xr:uid="{00000000-0005-0000-0000-000012040000}"/>
    <cellStyle name="Normal 18 4 2 2 3 2 2" xfId="1043" xr:uid="{00000000-0005-0000-0000-000013040000}"/>
    <cellStyle name="Normal 18 4 2 2 3 2 2 2" xfId="2433" xr:uid="{787B3FB6-887F-46CD-A205-52465BE87522}"/>
    <cellStyle name="Normal 18 4 2 2 3 2 3" xfId="2432" xr:uid="{95E8144A-213E-4043-A08F-12BE57E449E3}"/>
    <cellStyle name="Normal 18 4 2 2 3 3" xfId="1044" xr:uid="{00000000-0005-0000-0000-000014040000}"/>
    <cellStyle name="Normal 18 4 2 2 3 3 2" xfId="2434" xr:uid="{8C53D3C4-4147-475B-A5BF-C85EBC9A58EB}"/>
    <cellStyle name="Normal 18 4 2 2 3 4" xfId="2431" xr:uid="{194AD5FC-D4D8-4A47-A409-C3D7BFF8917A}"/>
    <cellStyle name="Normal 18 4 2 2 4" xfId="1045" xr:uid="{00000000-0005-0000-0000-000015040000}"/>
    <cellStyle name="Normal 18 4 2 2 4 2" xfId="1046" xr:uid="{00000000-0005-0000-0000-000016040000}"/>
    <cellStyle name="Normal 18 4 2 2 4 2 2" xfId="1047" xr:uid="{00000000-0005-0000-0000-000017040000}"/>
    <cellStyle name="Normal 18 4 2 2 4 2 2 2" xfId="2437" xr:uid="{3C281CBD-D92C-4E95-BB2A-96C486DC1ABD}"/>
    <cellStyle name="Normal 18 4 2 2 4 2 3" xfId="2436" xr:uid="{B7044033-2BF0-459F-8D2D-24C959FA35C1}"/>
    <cellStyle name="Normal 18 4 2 2 4 3" xfId="1048" xr:uid="{00000000-0005-0000-0000-000018040000}"/>
    <cellStyle name="Normal 18 4 2 2 4 3 2" xfId="2438" xr:uid="{FBF914D6-7A96-4AA5-9742-A4A1DAD0C6D4}"/>
    <cellStyle name="Normal 18 4 2 2 4 4" xfId="2435" xr:uid="{749FB3B1-6BF3-4AB4-B018-20FBB8CFF76D}"/>
    <cellStyle name="Normal 18 4 2 2 5" xfId="1049" xr:uid="{00000000-0005-0000-0000-000019040000}"/>
    <cellStyle name="Normal 18 4 2 2 5 2" xfId="1050" xr:uid="{00000000-0005-0000-0000-00001A040000}"/>
    <cellStyle name="Normal 18 4 2 2 5 2 2" xfId="2440" xr:uid="{554267AD-FB20-4FFF-B38A-DDA37A5A4028}"/>
    <cellStyle name="Normal 18 4 2 2 5 3" xfId="2439" xr:uid="{5DBA0C4C-32AC-40AC-92A8-8A4DD65A598B}"/>
    <cellStyle name="Normal 18 4 2 2 6" xfId="1051" xr:uid="{00000000-0005-0000-0000-00001B040000}"/>
    <cellStyle name="Normal 18 4 2 2 6 2" xfId="1052" xr:uid="{00000000-0005-0000-0000-00001C040000}"/>
    <cellStyle name="Normal 18 4 2 2 6 2 2" xfId="2442" xr:uid="{B2FEFD38-555F-4BED-B48A-29AB3E28B1E5}"/>
    <cellStyle name="Normal 18 4 2 2 6 3" xfId="2441" xr:uid="{823F859A-AEE8-458F-8490-15FB971D61F2}"/>
    <cellStyle name="Normal 18 4 2 2 7" xfId="1053" xr:uid="{00000000-0005-0000-0000-00001D040000}"/>
    <cellStyle name="Normal 18 4 2 2 7 2" xfId="2443" xr:uid="{F384D41A-F1ED-4885-905A-6B28096EC220}"/>
    <cellStyle name="Normal 18 4 2 2 8" xfId="2416" xr:uid="{D520875D-9322-4A91-AA9A-5C0782373159}"/>
    <cellStyle name="Normal 18 4 2 3" xfId="1054" xr:uid="{00000000-0005-0000-0000-00001E040000}"/>
    <cellStyle name="Normal 18 4 2 3 2" xfId="1055" xr:uid="{00000000-0005-0000-0000-00001F040000}"/>
    <cellStyle name="Normal 18 4 2 3 2 2" xfId="1056" xr:uid="{00000000-0005-0000-0000-000020040000}"/>
    <cellStyle name="Normal 18 4 2 3 2 2 2" xfId="1057" xr:uid="{00000000-0005-0000-0000-000021040000}"/>
    <cellStyle name="Normal 18 4 2 3 2 2 2 2" xfId="2447" xr:uid="{C02A8236-6868-4B7B-A735-32BED3F8304C}"/>
    <cellStyle name="Normal 18 4 2 3 2 2 3" xfId="2446" xr:uid="{39096525-52A6-4A6D-9F36-5D7EB6F69D46}"/>
    <cellStyle name="Normal 18 4 2 3 2 3" xfId="1058" xr:uid="{00000000-0005-0000-0000-000022040000}"/>
    <cellStyle name="Normal 18 4 2 3 2 3 2" xfId="2448" xr:uid="{44BF2AA0-4B40-4371-BA85-976829E1FC06}"/>
    <cellStyle name="Normal 18 4 2 3 2 4" xfId="2445" xr:uid="{A7D05C8F-1026-4B1D-85FD-E15E5213E3BF}"/>
    <cellStyle name="Normal 18 4 2 3 3" xfId="1059" xr:uid="{00000000-0005-0000-0000-000023040000}"/>
    <cellStyle name="Normal 18 4 2 3 3 2" xfId="1060" xr:uid="{00000000-0005-0000-0000-000024040000}"/>
    <cellStyle name="Normal 18 4 2 3 3 2 2" xfId="1061" xr:uid="{00000000-0005-0000-0000-000025040000}"/>
    <cellStyle name="Normal 18 4 2 3 3 2 2 2" xfId="2451" xr:uid="{F6E8FEF9-F179-4DBD-B03C-EEE40904B0FA}"/>
    <cellStyle name="Normal 18 4 2 3 3 2 3" xfId="2450" xr:uid="{D184B0ED-BEB5-4895-8112-1B67A95CE01C}"/>
    <cellStyle name="Normal 18 4 2 3 3 3" xfId="1062" xr:uid="{00000000-0005-0000-0000-000026040000}"/>
    <cellStyle name="Normal 18 4 2 3 3 3 2" xfId="2452" xr:uid="{043C57F8-461F-4A68-A276-AF4327D6233E}"/>
    <cellStyle name="Normal 18 4 2 3 3 4" xfId="2449" xr:uid="{567B6859-4D23-4F00-A587-E2EC9DAB437B}"/>
    <cellStyle name="Normal 18 4 2 3 4" xfId="1063" xr:uid="{00000000-0005-0000-0000-000027040000}"/>
    <cellStyle name="Normal 18 4 2 3 4 2" xfId="1064" xr:uid="{00000000-0005-0000-0000-000028040000}"/>
    <cellStyle name="Normal 18 4 2 3 4 2 2" xfId="2454" xr:uid="{992AE5AE-C9CB-423B-B8C4-47670D52CFF9}"/>
    <cellStyle name="Normal 18 4 2 3 4 3" xfId="2453" xr:uid="{033F5F37-3B38-46C0-95A5-FEC5AC7FF150}"/>
    <cellStyle name="Normal 18 4 2 3 5" xfId="1065" xr:uid="{00000000-0005-0000-0000-000029040000}"/>
    <cellStyle name="Normal 18 4 2 3 5 2" xfId="1066" xr:uid="{00000000-0005-0000-0000-00002A040000}"/>
    <cellStyle name="Normal 18 4 2 3 5 2 2" xfId="2456" xr:uid="{6F1D3548-76AC-4FCF-A5CA-92062E61D4E5}"/>
    <cellStyle name="Normal 18 4 2 3 5 3" xfId="2455" xr:uid="{05505836-B8F4-4A0F-B729-61D31CB14159}"/>
    <cellStyle name="Normal 18 4 2 3 6" xfId="1067" xr:uid="{00000000-0005-0000-0000-00002B040000}"/>
    <cellStyle name="Normal 18 4 2 3 6 2" xfId="2457" xr:uid="{F2D681A7-20D2-460D-B280-7101E9ABA7F9}"/>
    <cellStyle name="Normal 18 4 2 3 7" xfId="2444" xr:uid="{CC4E7A9A-E823-4294-965E-ADDAEDE35201}"/>
    <cellStyle name="Normal 18 4 2 4" xfId="1068" xr:uid="{00000000-0005-0000-0000-00002C040000}"/>
    <cellStyle name="Normal 18 4 2 4 2" xfId="1069" xr:uid="{00000000-0005-0000-0000-00002D040000}"/>
    <cellStyle name="Normal 18 4 2 4 2 2" xfId="1070" xr:uid="{00000000-0005-0000-0000-00002E040000}"/>
    <cellStyle name="Normal 18 4 2 4 2 2 2" xfId="1071" xr:uid="{00000000-0005-0000-0000-00002F040000}"/>
    <cellStyle name="Normal 18 4 2 4 2 2 2 2" xfId="2461" xr:uid="{86521B68-B4E9-4E97-9248-5E8A5C7D3414}"/>
    <cellStyle name="Normal 18 4 2 4 2 2 3" xfId="2460" xr:uid="{274A0E44-9791-41C8-94CD-B06911358E0B}"/>
    <cellStyle name="Normal 18 4 2 4 2 3" xfId="1072" xr:uid="{00000000-0005-0000-0000-000030040000}"/>
    <cellStyle name="Normal 18 4 2 4 2 3 2" xfId="2462" xr:uid="{53A9B650-49A6-422B-9AEC-58D108116B1A}"/>
    <cellStyle name="Normal 18 4 2 4 2 4" xfId="2459" xr:uid="{AB9322C5-92BF-415E-BE4E-40828B53C19E}"/>
    <cellStyle name="Normal 18 4 2 4 3" xfId="1073" xr:uid="{00000000-0005-0000-0000-000031040000}"/>
    <cellStyle name="Normal 18 4 2 4 3 2" xfId="1074" xr:uid="{00000000-0005-0000-0000-000032040000}"/>
    <cellStyle name="Normal 18 4 2 4 3 2 2" xfId="2464" xr:uid="{91C03AC1-B159-4D9A-B7AF-8CB99BAFEFE5}"/>
    <cellStyle name="Normal 18 4 2 4 3 3" xfId="2463" xr:uid="{0C094686-D2D6-4265-8041-C48CC5122AA8}"/>
    <cellStyle name="Normal 18 4 2 4 4" xfId="1075" xr:uid="{00000000-0005-0000-0000-000033040000}"/>
    <cellStyle name="Normal 18 4 2 4 4 2" xfId="1076" xr:uid="{00000000-0005-0000-0000-000034040000}"/>
    <cellStyle name="Normal 18 4 2 4 4 2 2" xfId="2466" xr:uid="{6BE1E492-2FFF-4853-AE7F-39663BEB0DDB}"/>
    <cellStyle name="Normal 18 4 2 4 4 3" xfId="2465" xr:uid="{3217C023-64E3-4181-8063-721A24F856F1}"/>
    <cellStyle name="Normal 18 4 2 4 5" xfId="1077" xr:uid="{00000000-0005-0000-0000-000035040000}"/>
    <cellStyle name="Normal 18 4 2 4 5 2" xfId="2467" xr:uid="{80A1C667-CF96-402A-915E-8EB0E49C520F}"/>
    <cellStyle name="Normal 18 4 2 4 6" xfId="2458" xr:uid="{D60FF1CF-0D14-40DD-A030-D7F626770FE2}"/>
    <cellStyle name="Normal 18 4 2 5" xfId="1078" xr:uid="{00000000-0005-0000-0000-000036040000}"/>
    <cellStyle name="Normal 18 4 2 5 2" xfId="1079" xr:uid="{00000000-0005-0000-0000-000037040000}"/>
    <cellStyle name="Normal 18 4 2 5 2 2" xfId="1080" xr:uid="{00000000-0005-0000-0000-000038040000}"/>
    <cellStyle name="Normal 18 4 2 5 2 2 2" xfId="1081" xr:uid="{00000000-0005-0000-0000-000039040000}"/>
    <cellStyle name="Normal 18 4 2 5 2 2 2 2" xfId="2471" xr:uid="{3FCB96C1-8BE1-4F01-BFC0-F90EA0851422}"/>
    <cellStyle name="Normal 18 4 2 5 2 2 3" xfId="2470" xr:uid="{71EBC665-5939-4BB0-82E6-B6A473C2A1B4}"/>
    <cellStyle name="Normal 18 4 2 5 2 3" xfId="1082" xr:uid="{00000000-0005-0000-0000-00003A040000}"/>
    <cellStyle name="Normal 18 4 2 5 2 3 2" xfId="2472" xr:uid="{C8567E8F-AF36-45FD-AAC8-311EC01B94E5}"/>
    <cellStyle name="Normal 18 4 2 5 2 4" xfId="2469" xr:uid="{B6B33012-832E-4E2B-8071-E2BC00215827}"/>
    <cellStyle name="Normal 18 4 2 5 3" xfId="1083" xr:uid="{00000000-0005-0000-0000-00003B040000}"/>
    <cellStyle name="Normal 18 4 2 5 3 2" xfId="1084" xr:uid="{00000000-0005-0000-0000-00003C040000}"/>
    <cellStyle name="Normal 18 4 2 5 3 2 2" xfId="2474" xr:uid="{22A87C06-F29B-4C1E-9046-35090CAED705}"/>
    <cellStyle name="Normal 18 4 2 5 3 3" xfId="2473" xr:uid="{9F810119-FC4B-4753-87E3-A7394A5C65F0}"/>
    <cellStyle name="Normal 18 4 2 5 4" xfId="1085" xr:uid="{00000000-0005-0000-0000-00003D040000}"/>
    <cellStyle name="Normal 18 4 2 5 4 2" xfId="1086" xr:uid="{00000000-0005-0000-0000-00003E040000}"/>
    <cellStyle name="Normal 18 4 2 5 4 2 2" xfId="2476" xr:uid="{322FBFC7-19C5-4FF7-ABBC-826BDE6A199D}"/>
    <cellStyle name="Normal 18 4 2 5 4 3" xfId="2475" xr:uid="{9F93C39F-4410-43C2-AF16-2AB51599D2DF}"/>
    <cellStyle name="Normal 18 4 2 5 5" xfId="1087" xr:uid="{00000000-0005-0000-0000-00003F040000}"/>
    <cellStyle name="Normal 18 4 2 5 5 2" xfId="2477" xr:uid="{D7BB1A8E-82F7-4FEC-86C5-E85654B95B28}"/>
    <cellStyle name="Normal 18 4 2 5 6" xfId="2468" xr:uid="{B336FA2F-1EED-433F-913D-C507EA6021A2}"/>
    <cellStyle name="Normal 18 4 2 6" xfId="1088" xr:uid="{00000000-0005-0000-0000-000040040000}"/>
    <cellStyle name="Normal 18 4 2 6 2" xfId="1089" xr:uid="{00000000-0005-0000-0000-000041040000}"/>
    <cellStyle name="Normal 18 4 2 6 2 2" xfId="1090" xr:uid="{00000000-0005-0000-0000-000042040000}"/>
    <cellStyle name="Normal 18 4 2 6 2 2 2" xfId="2480" xr:uid="{EEE01BCB-15C2-43B3-B5AE-F438E640FEE2}"/>
    <cellStyle name="Normal 18 4 2 6 2 3" xfId="2479" xr:uid="{7497B46E-B107-4EB3-B8D4-8ABB1D037514}"/>
    <cellStyle name="Normal 18 4 2 6 3" xfId="1091" xr:uid="{00000000-0005-0000-0000-000043040000}"/>
    <cellStyle name="Normal 18 4 2 6 3 2" xfId="2481" xr:uid="{ECD87FB4-5E43-42A6-9F1C-064440DAED2E}"/>
    <cellStyle name="Normal 18 4 2 6 4" xfId="2478" xr:uid="{2DD72774-89D8-418C-B00D-1510F3241692}"/>
    <cellStyle name="Normal 18 4 2 7" xfId="1092" xr:uid="{00000000-0005-0000-0000-000044040000}"/>
    <cellStyle name="Normal 18 4 2 7 2" xfId="1093" xr:uid="{00000000-0005-0000-0000-000045040000}"/>
    <cellStyle name="Normal 18 4 2 7 2 2" xfId="1094" xr:uid="{00000000-0005-0000-0000-000046040000}"/>
    <cellStyle name="Normal 18 4 2 7 2 2 2" xfId="2484" xr:uid="{70122581-F923-41D2-9623-FE49C32E17FB}"/>
    <cellStyle name="Normal 18 4 2 7 2 3" xfId="2483" xr:uid="{2FCFC938-3986-4B32-B707-BE0C2E32A893}"/>
    <cellStyle name="Normal 18 4 2 7 3" xfId="1095" xr:uid="{00000000-0005-0000-0000-000047040000}"/>
    <cellStyle name="Normal 18 4 2 7 3 2" xfId="2485" xr:uid="{D820C1BD-3707-490C-AC25-04D14EC4072D}"/>
    <cellStyle name="Normal 18 4 2 7 4" xfId="2482" xr:uid="{6EF5BBA2-3FA9-412F-8280-11DE316D5C67}"/>
    <cellStyle name="Normal 18 4 2 8" xfId="1096" xr:uid="{00000000-0005-0000-0000-000048040000}"/>
    <cellStyle name="Normal 18 4 2 8 2" xfId="1097" xr:uid="{00000000-0005-0000-0000-000049040000}"/>
    <cellStyle name="Normal 18 4 2 8 2 2" xfId="2487" xr:uid="{D041255B-16C8-4753-9411-84A36E60E55B}"/>
    <cellStyle name="Normal 18 4 2 8 3" xfId="2486" xr:uid="{2E131591-A3AC-46C5-AC49-9014937E97CE}"/>
    <cellStyle name="Normal 18 4 2 9" xfId="1098" xr:uid="{00000000-0005-0000-0000-00004A040000}"/>
    <cellStyle name="Normal 18 4 2 9 2" xfId="1099" xr:uid="{00000000-0005-0000-0000-00004B040000}"/>
    <cellStyle name="Normal 18 4 2 9 2 2" xfId="2489" xr:uid="{6FEC6348-69E9-480B-B8DF-55A1F7C5548C}"/>
    <cellStyle name="Normal 18 4 2 9 3" xfId="2488" xr:uid="{DF1F4DF3-B79D-4A8B-8F0B-BF32CA52BA3B}"/>
    <cellStyle name="Normal 18 4 3" xfId="1100" xr:uid="{00000000-0005-0000-0000-00004C040000}"/>
    <cellStyle name="Normal 18 4 3 2" xfId="1101" xr:uid="{00000000-0005-0000-0000-00004D040000}"/>
    <cellStyle name="Normal 18 4 3 2 2" xfId="1102" xr:uid="{00000000-0005-0000-0000-00004E040000}"/>
    <cellStyle name="Normal 18 4 3 2 2 2" xfId="1103" xr:uid="{00000000-0005-0000-0000-00004F040000}"/>
    <cellStyle name="Normal 18 4 3 2 2 2 2" xfId="1104" xr:uid="{00000000-0005-0000-0000-000050040000}"/>
    <cellStyle name="Normal 18 4 3 2 2 2 2 2" xfId="2494" xr:uid="{FD96FBF3-836C-446C-AFEA-49C437BDB7E6}"/>
    <cellStyle name="Normal 18 4 3 2 2 2 3" xfId="2493" xr:uid="{DA3FF6AC-2DE5-44BB-B75A-8E35928E28E8}"/>
    <cellStyle name="Normal 18 4 3 2 2 3" xfId="1105" xr:uid="{00000000-0005-0000-0000-000051040000}"/>
    <cellStyle name="Normal 18 4 3 2 2 3 2" xfId="2495" xr:uid="{32AEA607-B324-46DD-B093-DC96FDC67453}"/>
    <cellStyle name="Normal 18 4 3 2 2 4" xfId="2492" xr:uid="{0B6EFC50-82BE-41F9-AD67-A3CE19BBF0C0}"/>
    <cellStyle name="Normal 18 4 3 2 3" xfId="1106" xr:uid="{00000000-0005-0000-0000-000052040000}"/>
    <cellStyle name="Normal 18 4 3 2 3 2" xfId="1107" xr:uid="{00000000-0005-0000-0000-000053040000}"/>
    <cellStyle name="Normal 18 4 3 2 3 2 2" xfId="1108" xr:uid="{00000000-0005-0000-0000-000054040000}"/>
    <cellStyle name="Normal 18 4 3 2 3 2 2 2" xfId="2498" xr:uid="{05CA19BA-96EB-405C-9309-BDF95B67EDA9}"/>
    <cellStyle name="Normal 18 4 3 2 3 2 3" xfId="2497" xr:uid="{CA4B1DEE-826D-428A-ABCD-EBB8BBF9D7DD}"/>
    <cellStyle name="Normal 18 4 3 2 3 3" xfId="1109" xr:uid="{00000000-0005-0000-0000-000055040000}"/>
    <cellStyle name="Normal 18 4 3 2 3 3 2" xfId="2499" xr:uid="{BF4D57EC-BDF5-47FC-B262-ED6DDCDBC690}"/>
    <cellStyle name="Normal 18 4 3 2 3 4" xfId="2496" xr:uid="{03744333-DCED-4052-9F4B-A53B609D89F2}"/>
    <cellStyle name="Normal 18 4 3 2 4" xfId="1110" xr:uid="{00000000-0005-0000-0000-000056040000}"/>
    <cellStyle name="Normal 18 4 3 2 4 2" xfId="1111" xr:uid="{00000000-0005-0000-0000-000057040000}"/>
    <cellStyle name="Normal 18 4 3 2 4 2 2" xfId="2501" xr:uid="{3B5B6A58-37FA-4F64-8923-A12E82577389}"/>
    <cellStyle name="Normal 18 4 3 2 4 3" xfId="2500" xr:uid="{241BD283-EB00-4B4A-93C6-087205393D99}"/>
    <cellStyle name="Normal 18 4 3 2 5" xfId="1112" xr:uid="{00000000-0005-0000-0000-000058040000}"/>
    <cellStyle name="Normal 18 4 3 2 5 2" xfId="1113" xr:uid="{00000000-0005-0000-0000-000059040000}"/>
    <cellStyle name="Normal 18 4 3 2 5 2 2" xfId="2503" xr:uid="{CFD66471-1A4C-4BC4-A1EA-CBC1EF1F1DA8}"/>
    <cellStyle name="Normal 18 4 3 2 5 3" xfId="2502" xr:uid="{394A78DA-77D3-49CA-B1E5-C018A681A82E}"/>
    <cellStyle name="Normal 18 4 3 2 6" xfId="1114" xr:uid="{00000000-0005-0000-0000-00005A040000}"/>
    <cellStyle name="Normal 18 4 3 2 6 2" xfId="2504" xr:uid="{BE88F486-5927-427D-8B89-B863A1EBE1D9}"/>
    <cellStyle name="Normal 18 4 3 2 7" xfId="2491" xr:uid="{8748E3FA-1CFA-46C3-A5D4-D21C7453B64D}"/>
    <cellStyle name="Normal 18 4 3 3" xfId="1115" xr:uid="{00000000-0005-0000-0000-00005B040000}"/>
    <cellStyle name="Normal 18 4 3 3 2" xfId="1116" xr:uid="{00000000-0005-0000-0000-00005C040000}"/>
    <cellStyle name="Normal 18 4 3 3 2 2" xfId="1117" xr:uid="{00000000-0005-0000-0000-00005D040000}"/>
    <cellStyle name="Normal 18 4 3 3 2 2 2" xfId="2507" xr:uid="{707528EB-F777-497E-AB10-EE0143B3CD55}"/>
    <cellStyle name="Normal 18 4 3 3 2 3" xfId="2506" xr:uid="{43A58994-C843-40EE-A633-6A7C19E305FA}"/>
    <cellStyle name="Normal 18 4 3 3 3" xfId="1118" xr:uid="{00000000-0005-0000-0000-00005E040000}"/>
    <cellStyle name="Normal 18 4 3 3 3 2" xfId="2508" xr:uid="{B27A7BB0-770D-42C7-B5D2-82971EDBDC08}"/>
    <cellStyle name="Normal 18 4 3 3 4" xfId="2505" xr:uid="{E29A3D71-4F73-4CA3-B76E-89554AD60A9A}"/>
    <cellStyle name="Normal 18 4 3 4" xfId="1119" xr:uid="{00000000-0005-0000-0000-00005F040000}"/>
    <cellStyle name="Normal 18 4 3 4 2" xfId="1120" xr:uid="{00000000-0005-0000-0000-000060040000}"/>
    <cellStyle name="Normal 18 4 3 4 2 2" xfId="1121" xr:uid="{00000000-0005-0000-0000-000061040000}"/>
    <cellStyle name="Normal 18 4 3 4 2 2 2" xfId="2511" xr:uid="{2F506492-938F-4E77-BBD7-B52556D38A7B}"/>
    <cellStyle name="Normal 18 4 3 4 2 3" xfId="2510" xr:uid="{F29FC337-FADE-4A79-88E8-A4655C18AC29}"/>
    <cellStyle name="Normal 18 4 3 4 3" xfId="1122" xr:uid="{00000000-0005-0000-0000-000062040000}"/>
    <cellStyle name="Normal 18 4 3 4 3 2" xfId="2512" xr:uid="{87FEE18C-3AD6-40EB-90E6-0CC62076D105}"/>
    <cellStyle name="Normal 18 4 3 4 4" xfId="2509" xr:uid="{947D22D0-07B8-4093-8B08-546A4568FA23}"/>
    <cellStyle name="Normal 18 4 3 5" xfId="1123" xr:uid="{00000000-0005-0000-0000-000063040000}"/>
    <cellStyle name="Normal 18 4 3 5 2" xfId="1124" xr:uid="{00000000-0005-0000-0000-000064040000}"/>
    <cellStyle name="Normal 18 4 3 5 2 2" xfId="2514" xr:uid="{7EAE28BA-F29E-4A8A-8A5A-8C86A1D1F424}"/>
    <cellStyle name="Normal 18 4 3 5 3" xfId="2513" xr:uid="{3F29B5CB-D99E-4B2E-A142-C9FAD0E1D8B0}"/>
    <cellStyle name="Normal 18 4 3 6" xfId="1125" xr:uid="{00000000-0005-0000-0000-000065040000}"/>
    <cellStyle name="Normal 18 4 3 6 2" xfId="1126" xr:uid="{00000000-0005-0000-0000-000066040000}"/>
    <cellStyle name="Normal 18 4 3 6 2 2" xfId="2516" xr:uid="{58A0B442-F63B-4404-94CB-9F4C57A1788B}"/>
    <cellStyle name="Normal 18 4 3 6 3" xfId="2515" xr:uid="{F916A776-8A33-4F3B-8615-593B5808936F}"/>
    <cellStyle name="Normal 18 4 3 7" xfId="1127" xr:uid="{00000000-0005-0000-0000-000067040000}"/>
    <cellStyle name="Normal 18 4 3 7 2" xfId="2517" xr:uid="{27A40C08-1C0C-4DD6-A9E8-DF37B93FE83F}"/>
    <cellStyle name="Normal 18 4 3 8" xfId="2490" xr:uid="{8595C3EF-98CE-4D68-A220-1A383C32E55C}"/>
    <cellStyle name="Normal 18 4 4" xfId="1128" xr:uid="{00000000-0005-0000-0000-000068040000}"/>
    <cellStyle name="Normal 18 4 4 2" xfId="1129" xr:uid="{00000000-0005-0000-0000-000069040000}"/>
    <cellStyle name="Normal 18 4 4 2 2" xfId="1130" xr:uid="{00000000-0005-0000-0000-00006A040000}"/>
    <cellStyle name="Normal 18 4 4 2 2 2" xfId="1131" xr:uid="{00000000-0005-0000-0000-00006B040000}"/>
    <cellStyle name="Normal 18 4 4 2 2 2 2" xfId="2521" xr:uid="{380FC171-B8CB-49E3-B6F6-E0D35EB8C844}"/>
    <cellStyle name="Normal 18 4 4 2 2 3" xfId="2520" xr:uid="{6458F108-AB42-4783-91AF-E0BB4DEFF445}"/>
    <cellStyle name="Normal 18 4 4 2 3" xfId="1132" xr:uid="{00000000-0005-0000-0000-00006C040000}"/>
    <cellStyle name="Normal 18 4 4 2 3 2" xfId="2522" xr:uid="{14BF43EF-79E2-46AA-A8F1-27B441B2E9DA}"/>
    <cellStyle name="Normal 18 4 4 2 4" xfId="2519" xr:uid="{2BA440CA-8968-4638-BF56-C2950F457950}"/>
    <cellStyle name="Normal 18 4 4 3" xfId="1133" xr:uid="{00000000-0005-0000-0000-00006D040000}"/>
    <cellStyle name="Normal 18 4 4 3 2" xfId="1134" xr:uid="{00000000-0005-0000-0000-00006E040000}"/>
    <cellStyle name="Normal 18 4 4 3 2 2" xfId="1135" xr:uid="{00000000-0005-0000-0000-00006F040000}"/>
    <cellStyle name="Normal 18 4 4 3 2 2 2" xfId="2525" xr:uid="{1330106A-3B6A-44C1-8EB6-AEFB0EAB5608}"/>
    <cellStyle name="Normal 18 4 4 3 2 3" xfId="2524" xr:uid="{6CA2AF2E-4709-4501-B5AD-42A60D708682}"/>
    <cellStyle name="Normal 18 4 4 3 3" xfId="1136" xr:uid="{00000000-0005-0000-0000-000070040000}"/>
    <cellStyle name="Normal 18 4 4 3 3 2" xfId="2526" xr:uid="{AE7E65B5-2AC5-43FA-A75A-B3500D091877}"/>
    <cellStyle name="Normal 18 4 4 3 4" xfId="2523" xr:uid="{0D473EBB-EF44-4A13-B46D-92CCFC6CB605}"/>
    <cellStyle name="Normal 18 4 4 4" xfId="1137" xr:uid="{00000000-0005-0000-0000-000071040000}"/>
    <cellStyle name="Normal 18 4 4 4 2" xfId="1138" xr:uid="{00000000-0005-0000-0000-000072040000}"/>
    <cellStyle name="Normal 18 4 4 4 2 2" xfId="2528" xr:uid="{3BA5F0E4-BC7D-4D17-B326-DF49F06DBC3E}"/>
    <cellStyle name="Normal 18 4 4 4 3" xfId="2527" xr:uid="{938BD937-8DED-44DA-B76C-4424E9894E0B}"/>
    <cellStyle name="Normal 18 4 4 5" xfId="1139" xr:uid="{00000000-0005-0000-0000-000073040000}"/>
    <cellStyle name="Normal 18 4 4 5 2" xfId="1140" xr:uid="{00000000-0005-0000-0000-000074040000}"/>
    <cellStyle name="Normal 18 4 4 5 2 2" xfId="2530" xr:uid="{B41E9B1C-4B5D-47DD-8159-3DB76941FADE}"/>
    <cellStyle name="Normal 18 4 4 5 3" xfId="2529" xr:uid="{558B37D3-2084-4CD3-A42B-94654D213F07}"/>
    <cellStyle name="Normal 18 4 4 6" xfId="1141" xr:uid="{00000000-0005-0000-0000-000075040000}"/>
    <cellStyle name="Normal 18 4 4 6 2" xfId="2531" xr:uid="{A1EF8083-1F9D-47E0-8E0F-E56311EC9150}"/>
    <cellStyle name="Normal 18 4 4 7" xfId="2518" xr:uid="{72815B59-536E-4656-A251-9B5CB3CA8046}"/>
    <cellStyle name="Normal 18 4 5" xfId="1142" xr:uid="{00000000-0005-0000-0000-000076040000}"/>
    <cellStyle name="Normal 18 4 5 2" xfId="1143" xr:uid="{00000000-0005-0000-0000-000077040000}"/>
    <cellStyle name="Normal 18 4 5 2 2" xfId="1144" xr:uid="{00000000-0005-0000-0000-000078040000}"/>
    <cellStyle name="Normal 18 4 5 2 2 2" xfId="1145" xr:uid="{00000000-0005-0000-0000-000079040000}"/>
    <cellStyle name="Normal 18 4 5 2 2 2 2" xfId="2535" xr:uid="{F0556C86-8946-418E-9845-41D59B32AFA0}"/>
    <cellStyle name="Normal 18 4 5 2 2 3" xfId="2534" xr:uid="{72881ABD-6941-45D5-A3BA-0C6083A84389}"/>
    <cellStyle name="Normal 18 4 5 2 3" xfId="1146" xr:uid="{00000000-0005-0000-0000-00007A040000}"/>
    <cellStyle name="Normal 18 4 5 2 3 2" xfId="2536" xr:uid="{179D568A-565F-4F81-B0F1-04FD88ABA3C5}"/>
    <cellStyle name="Normal 18 4 5 2 4" xfId="2533" xr:uid="{9FD9579C-3E57-4D2E-BEAB-6AB21260FFC5}"/>
    <cellStyle name="Normal 18 4 5 3" xfId="1147" xr:uid="{00000000-0005-0000-0000-00007B040000}"/>
    <cellStyle name="Normal 18 4 5 3 2" xfId="1148" xr:uid="{00000000-0005-0000-0000-00007C040000}"/>
    <cellStyle name="Normal 18 4 5 3 2 2" xfId="2538" xr:uid="{36D55D5E-7705-4109-B6E2-F0815796B7D9}"/>
    <cellStyle name="Normal 18 4 5 3 3" xfId="2537" xr:uid="{446DD676-2065-4406-8BAF-075DA1CDFF3F}"/>
    <cellStyle name="Normal 18 4 5 4" xfId="1149" xr:uid="{00000000-0005-0000-0000-00007D040000}"/>
    <cellStyle name="Normal 18 4 5 4 2" xfId="1150" xr:uid="{00000000-0005-0000-0000-00007E040000}"/>
    <cellStyle name="Normal 18 4 5 4 2 2" xfId="2540" xr:uid="{E217D22A-808E-47F0-B536-E8FF423D9D30}"/>
    <cellStyle name="Normal 18 4 5 4 3" xfId="2539" xr:uid="{DE3C274B-E64B-4A9D-9CA3-1A0DE9392197}"/>
    <cellStyle name="Normal 18 4 5 5" xfId="1151" xr:uid="{00000000-0005-0000-0000-00007F040000}"/>
    <cellStyle name="Normal 18 4 5 5 2" xfId="2541" xr:uid="{43BF9542-350D-4927-991D-6BC8BF8620A3}"/>
    <cellStyle name="Normal 18 4 5 6" xfId="2532" xr:uid="{9DB29425-246D-4ED0-8B46-0DB909C3F18B}"/>
    <cellStyle name="Normal 18 4 6" xfId="1152" xr:uid="{00000000-0005-0000-0000-000080040000}"/>
    <cellStyle name="Normal 18 4 6 2" xfId="1153" xr:uid="{00000000-0005-0000-0000-000081040000}"/>
    <cellStyle name="Normal 18 4 6 2 2" xfId="1154" xr:uid="{00000000-0005-0000-0000-000082040000}"/>
    <cellStyle name="Normal 18 4 6 2 2 2" xfId="1155" xr:uid="{00000000-0005-0000-0000-000083040000}"/>
    <cellStyle name="Normal 18 4 6 2 2 2 2" xfId="2545" xr:uid="{337D4F91-D0FF-4CE7-A613-7069177E1CBF}"/>
    <cellStyle name="Normal 18 4 6 2 2 3" xfId="2544" xr:uid="{A31E6F68-518D-4763-8204-888F717E76A1}"/>
    <cellStyle name="Normal 18 4 6 2 3" xfId="1156" xr:uid="{00000000-0005-0000-0000-000084040000}"/>
    <cellStyle name="Normal 18 4 6 2 3 2" xfId="2546" xr:uid="{5FB34AD8-C32D-4412-8F73-96220E0C6FDB}"/>
    <cellStyle name="Normal 18 4 6 2 4" xfId="2543" xr:uid="{23E78CAF-2EBB-41BE-91A0-7E29884CE999}"/>
    <cellStyle name="Normal 18 4 6 3" xfId="1157" xr:uid="{00000000-0005-0000-0000-000085040000}"/>
    <cellStyle name="Normal 18 4 6 3 2" xfId="1158" xr:uid="{00000000-0005-0000-0000-000086040000}"/>
    <cellStyle name="Normal 18 4 6 3 2 2" xfId="2548" xr:uid="{6F3DFF0B-5968-4E03-9089-3C2D8FF43942}"/>
    <cellStyle name="Normal 18 4 6 3 3" xfId="2547" xr:uid="{6B4DAAFE-5AF6-4204-8B68-244D5DDC4820}"/>
    <cellStyle name="Normal 18 4 6 4" xfId="1159" xr:uid="{00000000-0005-0000-0000-000087040000}"/>
    <cellStyle name="Normal 18 4 6 4 2" xfId="1160" xr:uid="{00000000-0005-0000-0000-000088040000}"/>
    <cellStyle name="Normal 18 4 6 4 2 2" xfId="2550" xr:uid="{3C0CE7BA-60A2-4F07-96E4-317EBABC0819}"/>
    <cellStyle name="Normal 18 4 6 4 3" xfId="2549" xr:uid="{484E4CEA-9AA1-461A-A2F0-28D84EB5E79C}"/>
    <cellStyle name="Normal 18 4 6 5" xfId="1161" xr:uid="{00000000-0005-0000-0000-000089040000}"/>
    <cellStyle name="Normal 18 4 6 5 2" xfId="2551" xr:uid="{1407CF39-8DAA-4F03-8ED0-BBEBAF4D736A}"/>
    <cellStyle name="Normal 18 4 6 6" xfId="2542" xr:uid="{8845670F-2E11-431F-9CB2-86774DBD8828}"/>
    <cellStyle name="Normal 18 4 7" xfId="1162" xr:uid="{00000000-0005-0000-0000-00008A040000}"/>
    <cellStyle name="Normal 18 4 7 2" xfId="1163" xr:uid="{00000000-0005-0000-0000-00008B040000}"/>
    <cellStyle name="Normal 18 4 7 2 2" xfId="1164" xr:uid="{00000000-0005-0000-0000-00008C040000}"/>
    <cellStyle name="Normal 18 4 7 2 2 2" xfId="2554" xr:uid="{C5D88D14-A9C6-4062-944C-C13EC6284FBC}"/>
    <cellStyle name="Normal 18 4 7 2 3" xfId="2553" xr:uid="{35B9FE72-3254-4AD0-B054-24D0BA21D530}"/>
    <cellStyle name="Normal 18 4 7 3" xfId="1165" xr:uid="{00000000-0005-0000-0000-00008D040000}"/>
    <cellStyle name="Normal 18 4 7 3 2" xfId="2555" xr:uid="{DB5BE7C1-3DEA-48EF-84AE-61C140AA8C4A}"/>
    <cellStyle name="Normal 18 4 7 4" xfId="2552" xr:uid="{6EDC6201-CCCE-43F1-9651-FDF10C01782A}"/>
    <cellStyle name="Normal 18 4 8" xfId="1166" xr:uid="{00000000-0005-0000-0000-00008E040000}"/>
    <cellStyle name="Normal 18 4 8 2" xfId="1167" xr:uid="{00000000-0005-0000-0000-00008F040000}"/>
    <cellStyle name="Normal 18 4 8 2 2" xfId="1168" xr:uid="{00000000-0005-0000-0000-000090040000}"/>
    <cellStyle name="Normal 18 4 8 2 2 2" xfId="2558" xr:uid="{B7CB6ABF-2A3B-4D13-B2F5-5C622F10BB78}"/>
    <cellStyle name="Normal 18 4 8 2 3" xfId="2557" xr:uid="{F5955FE9-1217-4DC0-8139-2E9D0D60A98F}"/>
    <cellStyle name="Normal 18 4 8 3" xfId="1169" xr:uid="{00000000-0005-0000-0000-000091040000}"/>
    <cellStyle name="Normal 18 4 8 3 2" xfId="2559" xr:uid="{0135932D-94E6-4277-BD9B-66FA752A4E51}"/>
    <cellStyle name="Normal 18 4 8 4" xfId="2556" xr:uid="{35EA8FB6-AFC4-4507-80F4-60E9FD4FB6F5}"/>
    <cellStyle name="Normal 18 4 9" xfId="1170" xr:uid="{00000000-0005-0000-0000-000092040000}"/>
    <cellStyle name="Normal 18 4 9 2" xfId="1171" xr:uid="{00000000-0005-0000-0000-000093040000}"/>
    <cellStyle name="Normal 18 4 9 2 2" xfId="2561" xr:uid="{C3871A35-54B0-4D74-AA8D-45B2B87FF4A9}"/>
    <cellStyle name="Normal 18 4 9 3" xfId="2560" xr:uid="{2F4549DB-4854-412F-81AA-6C1F7C7C8B9E}"/>
    <cellStyle name="Normal 18 5" xfId="1172" xr:uid="{00000000-0005-0000-0000-000094040000}"/>
    <cellStyle name="Normal 18 5 10" xfId="1173" xr:uid="{00000000-0005-0000-0000-000095040000}"/>
    <cellStyle name="Normal 18 5 10 2" xfId="2563" xr:uid="{84792E7C-6611-4321-9AA6-EC9848A853F7}"/>
    <cellStyle name="Normal 18 5 11" xfId="2562" xr:uid="{0E677BD1-2B5F-4267-9867-2557228D3EE3}"/>
    <cellStyle name="Normal 18 5 2" xfId="1174" xr:uid="{00000000-0005-0000-0000-000096040000}"/>
    <cellStyle name="Normal 18 5 2 2" xfId="1175" xr:uid="{00000000-0005-0000-0000-000097040000}"/>
    <cellStyle name="Normal 18 5 2 2 2" xfId="1176" xr:uid="{00000000-0005-0000-0000-000098040000}"/>
    <cellStyle name="Normal 18 5 2 2 2 2" xfId="1177" xr:uid="{00000000-0005-0000-0000-000099040000}"/>
    <cellStyle name="Normal 18 5 2 2 2 2 2" xfId="1178" xr:uid="{00000000-0005-0000-0000-00009A040000}"/>
    <cellStyle name="Normal 18 5 2 2 2 2 2 2" xfId="2568" xr:uid="{4F2B1BD1-3003-4465-8E54-7DDAE4FF6C91}"/>
    <cellStyle name="Normal 18 5 2 2 2 2 3" xfId="2567" xr:uid="{359F9B51-E392-4757-A6D9-4B679FCBC413}"/>
    <cellStyle name="Normal 18 5 2 2 2 3" xfId="1179" xr:uid="{00000000-0005-0000-0000-00009B040000}"/>
    <cellStyle name="Normal 18 5 2 2 2 3 2" xfId="2569" xr:uid="{A8B93103-959E-41CC-A00D-1CF17E9AB5DE}"/>
    <cellStyle name="Normal 18 5 2 2 2 4" xfId="2566" xr:uid="{6EFBC304-F726-4E77-90F1-CABA26673A85}"/>
    <cellStyle name="Normal 18 5 2 2 3" xfId="1180" xr:uid="{00000000-0005-0000-0000-00009C040000}"/>
    <cellStyle name="Normal 18 5 2 2 3 2" xfId="1181" xr:uid="{00000000-0005-0000-0000-00009D040000}"/>
    <cellStyle name="Normal 18 5 2 2 3 2 2" xfId="1182" xr:uid="{00000000-0005-0000-0000-00009E040000}"/>
    <cellStyle name="Normal 18 5 2 2 3 2 2 2" xfId="2572" xr:uid="{85343128-79D1-4AC9-BE26-E1DBAE116F6F}"/>
    <cellStyle name="Normal 18 5 2 2 3 2 3" xfId="2571" xr:uid="{1A744B36-91E0-45AC-9373-43F3C3C37ED9}"/>
    <cellStyle name="Normal 18 5 2 2 3 3" xfId="1183" xr:uid="{00000000-0005-0000-0000-00009F040000}"/>
    <cellStyle name="Normal 18 5 2 2 3 3 2" xfId="2573" xr:uid="{B1C084D8-E417-4AA4-A671-90BC121B1173}"/>
    <cellStyle name="Normal 18 5 2 2 3 4" xfId="2570" xr:uid="{81D4640B-00CB-49D3-9EFC-AF61E738850B}"/>
    <cellStyle name="Normal 18 5 2 2 4" xfId="1184" xr:uid="{00000000-0005-0000-0000-0000A0040000}"/>
    <cellStyle name="Normal 18 5 2 2 4 2" xfId="1185" xr:uid="{00000000-0005-0000-0000-0000A1040000}"/>
    <cellStyle name="Normal 18 5 2 2 4 2 2" xfId="2575" xr:uid="{C48AF183-19B5-4ADE-9182-1D0E0D23DF11}"/>
    <cellStyle name="Normal 18 5 2 2 4 3" xfId="2574" xr:uid="{B3C075E3-6B36-4B75-9656-0244D6B3A752}"/>
    <cellStyle name="Normal 18 5 2 2 5" xfId="1186" xr:uid="{00000000-0005-0000-0000-0000A2040000}"/>
    <cellStyle name="Normal 18 5 2 2 5 2" xfId="1187" xr:uid="{00000000-0005-0000-0000-0000A3040000}"/>
    <cellStyle name="Normal 18 5 2 2 5 2 2" xfId="2577" xr:uid="{62E5D4C1-3920-4DA7-842C-598F62268C85}"/>
    <cellStyle name="Normal 18 5 2 2 5 3" xfId="2576" xr:uid="{C5883B87-C6C0-43B5-8E8F-5E921309AEE3}"/>
    <cellStyle name="Normal 18 5 2 2 6" xfId="1188" xr:uid="{00000000-0005-0000-0000-0000A4040000}"/>
    <cellStyle name="Normal 18 5 2 2 6 2" xfId="2578" xr:uid="{B6C8A791-C79B-4EED-B13D-D93440DCC338}"/>
    <cellStyle name="Normal 18 5 2 2 7" xfId="2565" xr:uid="{CF1B13D0-4A5C-4474-8C95-94CE00BA3CDF}"/>
    <cellStyle name="Normal 18 5 2 3" xfId="1189" xr:uid="{00000000-0005-0000-0000-0000A5040000}"/>
    <cellStyle name="Normal 18 5 2 3 2" xfId="1190" xr:uid="{00000000-0005-0000-0000-0000A6040000}"/>
    <cellStyle name="Normal 18 5 2 3 2 2" xfId="1191" xr:uid="{00000000-0005-0000-0000-0000A7040000}"/>
    <cellStyle name="Normal 18 5 2 3 2 2 2" xfId="2581" xr:uid="{04AA3A5D-0CE7-4A06-82E9-5A65EECDDF6D}"/>
    <cellStyle name="Normal 18 5 2 3 2 3" xfId="2580" xr:uid="{C131A3E7-A459-4290-A446-8BD04B5846B8}"/>
    <cellStyle name="Normal 18 5 2 3 3" xfId="1192" xr:uid="{00000000-0005-0000-0000-0000A8040000}"/>
    <cellStyle name="Normal 18 5 2 3 3 2" xfId="2582" xr:uid="{016CA8C8-0EBF-4B0F-A225-B1DB803D1EF9}"/>
    <cellStyle name="Normal 18 5 2 3 4" xfId="2579" xr:uid="{5F13963C-4527-46CF-9F65-2F910BCCD6B3}"/>
    <cellStyle name="Normal 18 5 2 4" xfId="1193" xr:uid="{00000000-0005-0000-0000-0000A9040000}"/>
    <cellStyle name="Normal 18 5 2 4 2" xfId="1194" xr:uid="{00000000-0005-0000-0000-0000AA040000}"/>
    <cellStyle name="Normal 18 5 2 4 2 2" xfId="1195" xr:uid="{00000000-0005-0000-0000-0000AB040000}"/>
    <cellStyle name="Normal 18 5 2 4 2 2 2" xfId="2585" xr:uid="{39A1909E-B8DB-44B4-9CEB-F9E7C7EEC7DD}"/>
    <cellStyle name="Normal 18 5 2 4 2 3" xfId="2584" xr:uid="{F057748D-9842-46FC-913A-182B6581B9D7}"/>
    <cellStyle name="Normal 18 5 2 4 3" xfId="1196" xr:uid="{00000000-0005-0000-0000-0000AC040000}"/>
    <cellStyle name="Normal 18 5 2 4 3 2" xfId="2586" xr:uid="{9E3A0F54-D992-4B47-BAE1-46478CAF80C9}"/>
    <cellStyle name="Normal 18 5 2 4 4" xfId="2583" xr:uid="{8469EEB5-4F98-4B6A-887D-91B46F88ABE4}"/>
    <cellStyle name="Normal 18 5 2 5" xfId="1197" xr:uid="{00000000-0005-0000-0000-0000AD040000}"/>
    <cellStyle name="Normal 18 5 2 5 2" xfId="1198" xr:uid="{00000000-0005-0000-0000-0000AE040000}"/>
    <cellStyle name="Normal 18 5 2 5 2 2" xfId="2588" xr:uid="{5C0762BC-9D6A-41E4-AC03-128C641B6F24}"/>
    <cellStyle name="Normal 18 5 2 5 3" xfId="2587" xr:uid="{5B53D6B7-A692-467E-ABB8-8CF9BA812A11}"/>
    <cellStyle name="Normal 18 5 2 6" xfId="1199" xr:uid="{00000000-0005-0000-0000-0000AF040000}"/>
    <cellStyle name="Normal 18 5 2 6 2" xfId="1200" xr:uid="{00000000-0005-0000-0000-0000B0040000}"/>
    <cellStyle name="Normal 18 5 2 6 2 2" xfId="2590" xr:uid="{ACC8B166-28D4-4ECC-BC0C-69ACD623BD12}"/>
    <cellStyle name="Normal 18 5 2 6 3" xfId="2589" xr:uid="{F9A03386-D16E-40D4-9A4D-1DE905BCC7BE}"/>
    <cellStyle name="Normal 18 5 2 7" xfId="1201" xr:uid="{00000000-0005-0000-0000-0000B1040000}"/>
    <cellStyle name="Normal 18 5 2 7 2" xfId="2591" xr:uid="{3328BD44-1BC2-4025-8DF0-56665C2C71AB}"/>
    <cellStyle name="Normal 18 5 2 8" xfId="2564" xr:uid="{09CE1083-0EE1-4768-B1F0-E0E9E65E0C2C}"/>
    <cellStyle name="Normal 18 5 3" xfId="1202" xr:uid="{00000000-0005-0000-0000-0000B2040000}"/>
    <cellStyle name="Normal 18 5 3 2" xfId="1203" xr:uid="{00000000-0005-0000-0000-0000B3040000}"/>
    <cellStyle name="Normal 18 5 3 2 2" xfId="1204" xr:uid="{00000000-0005-0000-0000-0000B4040000}"/>
    <cellStyle name="Normal 18 5 3 2 2 2" xfId="1205" xr:uid="{00000000-0005-0000-0000-0000B5040000}"/>
    <cellStyle name="Normal 18 5 3 2 2 2 2" xfId="2595" xr:uid="{05F21E92-7F55-4AE7-B90B-3E4558CCA92B}"/>
    <cellStyle name="Normal 18 5 3 2 2 3" xfId="2594" xr:uid="{DF466228-7B25-452E-B97A-E76E83F7247F}"/>
    <cellStyle name="Normal 18 5 3 2 3" xfId="1206" xr:uid="{00000000-0005-0000-0000-0000B6040000}"/>
    <cellStyle name="Normal 18 5 3 2 3 2" xfId="2596" xr:uid="{15851386-9C4B-4227-98F5-16190A5AA24C}"/>
    <cellStyle name="Normal 18 5 3 2 4" xfId="2593" xr:uid="{6E9BA837-9602-403E-A01E-3D8991104BE9}"/>
    <cellStyle name="Normal 18 5 3 3" xfId="1207" xr:uid="{00000000-0005-0000-0000-0000B7040000}"/>
    <cellStyle name="Normal 18 5 3 3 2" xfId="1208" xr:uid="{00000000-0005-0000-0000-0000B8040000}"/>
    <cellStyle name="Normal 18 5 3 3 2 2" xfId="1209" xr:uid="{00000000-0005-0000-0000-0000B9040000}"/>
    <cellStyle name="Normal 18 5 3 3 2 2 2" xfId="2599" xr:uid="{7956B262-CC8D-4951-9B80-738EA898040F}"/>
    <cellStyle name="Normal 18 5 3 3 2 3" xfId="2598" xr:uid="{45A1B804-BDAC-4AB2-95A1-0C524AE81ED2}"/>
    <cellStyle name="Normal 18 5 3 3 3" xfId="1210" xr:uid="{00000000-0005-0000-0000-0000BA040000}"/>
    <cellStyle name="Normal 18 5 3 3 3 2" xfId="2600" xr:uid="{52E17B31-04D1-449B-B62F-5C0B53E506C1}"/>
    <cellStyle name="Normal 18 5 3 3 4" xfId="2597" xr:uid="{7F80F8D9-540F-469F-B241-F94B9465BAE6}"/>
    <cellStyle name="Normal 18 5 3 4" xfId="1211" xr:uid="{00000000-0005-0000-0000-0000BB040000}"/>
    <cellStyle name="Normal 18 5 3 4 2" xfId="1212" xr:uid="{00000000-0005-0000-0000-0000BC040000}"/>
    <cellStyle name="Normal 18 5 3 4 2 2" xfId="2602" xr:uid="{719E79C3-6AA1-4381-BE5B-85DB549555C9}"/>
    <cellStyle name="Normal 18 5 3 4 3" xfId="2601" xr:uid="{B10259D7-AAE3-4803-A608-3A220D29E622}"/>
    <cellStyle name="Normal 18 5 3 5" xfId="1213" xr:uid="{00000000-0005-0000-0000-0000BD040000}"/>
    <cellStyle name="Normal 18 5 3 5 2" xfId="1214" xr:uid="{00000000-0005-0000-0000-0000BE040000}"/>
    <cellStyle name="Normal 18 5 3 5 2 2" xfId="2604" xr:uid="{9811DA5C-5DE6-4485-8ACB-FDE3D4EEB4C5}"/>
    <cellStyle name="Normal 18 5 3 5 3" xfId="2603" xr:uid="{C7838761-E613-48A5-9FFD-36F9D57A4C33}"/>
    <cellStyle name="Normal 18 5 3 6" xfId="1215" xr:uid="{00000000-0005-0000-0000-0000BF040000}"/>
    <cellStyle name="Normal 18 5 3 6 2" xfId="2605" xr:uid="{E3AF8439-D6CE-4E61-9E3B-B8DD81DD2326}"/>
    <cellStyle name="Normal 18 5 3 7" xfId="2592" xr:uid="{44FF4BF2-1145-4AC4-BED2-0B74F1F6A4EF}"/>
    <cellStyle name="Normal 18 5 4" xfId="1216" xr:uid="{00000000-0005-0000-0000-0000C0040000}"/>
    <cellStyle name="Normal 18 5 4 2" xfId="1217" xr:uid="{00000000-0005-0000-0000-0000C1040000}"/>
    <cellStyle name="Normal 18 5 4 2 2" xfId="1218" xr:uid="{00000000-0005-0000-0000-0000C2040000}"/>
    <cellStyle name="Normal 18 5 4 2 2 2" xfId="1219" xr:uid="{00000000-0005-0000-0000-0000C3040000}"/>
    <cellStyle name="Normal 18 5 4 2 2 2 2" xfId="2609" xr:uid="{6B8E9FD0-4BBD-4B2C-A158-B02EF737CC19}"/>
    <cellStyle name="Normal 18 5 4 2 2 3" xfId="2608" xr:uid="{CE0D679F-BCB7-4F35-81C9-3C317745F41A}"/>
    <cellStyle name="Normal 18 5 4 2 3" xfId="1220" xr:uid="{00000000-0005-0000-0000-0000C4040000}"/>
    <cellStyle name="Normal 18 5 4 2 3 2" xfId="2610" xr:uid="{91BAA3E8-1200-4C77-B39E-CD61435C798E}"/>
    <cellStyle name="Normal 18 5 4 2 4" xfId="2607" xr:uid="{4F84C387-233B-4286-904B-8AED7D22A0B5}"/>
    <cellStyle name="Normal 18 5 4 3" xfId="1221" xr:uid="{00000000-0005-0000-0000-0000C5040000}"/>
    <cellStyle name="Normal 18 5 4 3 2" xfId="1222" xr:uid="{00000000-0005-0000-0000-0000C6040000}"/>
    <cellStyle name="Normal 18 5 4 3 2 2" xfId="2612" xr:uid="{E3BE81C1-F69C-400E-8804-E38F38374537}"/>
    <cellStyle name="Normal 18 5 4 3 3" xfId="2611" xr:uid="{A32624FD-6D97-4BB9-8699-37026433EC64}"/>
    <cellStyle name="Normal 18 5 4 4" xfId="1223" xr:uid="{00000000-0005-0000-0000-0000C7040000}"/>
    <cellStyle name="Normal 18 5 4 4 2" xfId="1224" xr:uid="{00000000-0005-0000-0000-0000C8040000}"/>
    <cellStyle name="Normal 18 5 4 4 2 2" xfId="2614" xr:uid="{B72CDA74-C482-4F48-9666-81FC770A386A}"/>
    <cellStyle name="Normal 18 5 4 4 3" xfId="2613" xr:uid="{A6C59501-0470-408D-8AFD-797936E9B8AF}"/>
    <cellStyle name="Normal 18 5 4 5" xfId="1225" xr:uid="{00000000-0005-0000-0000-0000C9040000}"/>
    <cellStyle name="Normal 18 5 4 5 2" xfId="2615" xr:uid="{50239FC5-93A6-4D13-A5C9-0BA4ED9C7F28}"/>
    <cellStyle name="Normal 18 5 4 6" xfId="2606" xr:uid="{73B6DA02-854A-41EE-8CAC-9E2455EA2BFA}"/>
    <cellStyle name="Normal 18 5 5" xfId="1226" xr:uid="{00000000-0005-0000-0000-0000CA040000}"/>
    <cellStyle name="Normal 18 5 5 2" xfId="1227" xr:uid="{00000000-0005-0000-0000-0000CB040000}"/>
    <cellStyle name="Normal 18 5 5 2 2" xfId="1228" xr:uid="{00000000-0005-0000-0000-0000CC040000}"/>
    <cellStyle name="Normal 18 5 5 2 2 2" xfId="1229" xr:uid="{00000000-0005-0000-0000-0000CD040000}"/>
    <cellStyle name="Normal 18 5 5 2 2 2 2" xfId="2619" xr:uid="{131A8BF5-D530-4326-8E9B-02BEDEDBE41D}"/>
    <cellStyle name="Normal 18 5 5 2 2 3" xfId="2618" xr:uid="{9B0FB6AC-3C84-48BC-B318-89D5BB50BF34}"/>
    <cellStyle name="Normal 18 5 5 2 3" xfId="1230" xr:uid="{00000000-0005-0000-0000-0000CE040000}"/>
    <cellStyle name="Normal 18 5 5 2 3 2" xfId="2620" xr:uid="{F0F54A7D-71F6-4D9F-8F54-C7F4BD63D8E0}"/>
    <cellStyle name="Normal 18 5 5 2 4" xfId="2617" xr:uid="{8C87C06A-534B-42E3-93CA-0A8DC1C9D57D}"/>
    <cellStyle name="Normal 18 5 5 3" xfId="1231" xr:uid="{00000000-0005-0000-0000-0000CF040000}"/>
    <cellStyle name="Normal 18 5 5 3 2" xfId="1232" xr:uid="{00000000-0005-0000-0000-0000D0040000}"/>
    <cellStyle name="Normal 18 5 5 3 2 2" xfId="2622" xr:uid="{C0DB0B5A-9813-45CE-9CFC-AD1C93FCE9CE}"/>
    <cellStyle name="Normal 18 5 5 3 3" xfId="2621" xr:uid="{44037D87-1748-4EE3-ABDA-8334D6CAF67E}"/>
    <cellStyle name="Normal 18 5 5 4" xfId="1233" xr:uid="{00000000-0005-0000-0000-0000D1040000}"/>
    <cellStyle name="Normal 18 5 5 4 2" xfId="1234" xr:uid="{00000000-0005-0000-0000-0000D2040000}"/>
    <cellStyle name="Normal 18 5 5 4 2 2" xfId="2624" xr:uid="{C09DBF6A-3AA8-4BC4-A7B6-03C411A1051E}"/>
    <cellStyle name="Normal 18 5 5 4 3" xfId="2623" xr:uid="{107D81D5-9118-4B35-8E24-53A7D8DFFFCF}"/>
    <cellStyle name="Normal 18 5 5 5" xfId="1235" xr:uid="{00000000-0005-0000-0000-0000D3040000}"/>
    <cellStyle name="Normal 18 5 5 5 2" xfId="2625" xr:uid="{E46A8D0A-C850-4266-9795-B0C48A5975CC}"/>
    <cellStyle name="Normal 18 5 5 6" xfId="2616" xr:uid="{2407A5FB-E9F6-43DD-B691-6486EF0F0B93}"/>
    <cellStyle name="Normal 18 5 6" xfId="1236" xr:uid="{00000000-0005-0000-0000-0000D4040000}"/>
    <cellStyle name="Normal 18 5 6 2" xfId="1237" xr:uid="{00000000-0005-0000-0000-0000D5040000}"/>
    <cellStyle name="Normal 18 5 6 2 2" xfId="1238" xr:uid="{00000000-0005-0000-0000-0000D6040000}"/>
    <cellStyle name="Normal 18 5 6 2 2 2" xfId="2628" xr:uid="{352B9C5B-136C-4416-9001-3FA717F9451A}"/>
    <cellStyle name="Normal 18 5 6 2 3" xfId="2627" xr:uid="{96B3331E-839B-4FA0-AAD1-65579D963691}"/>
    <cellStyle name="Normal 18 5 6 3" xfId="1239" xr:uid="{00000000-0005-0000-0000-0000D7040000}"/>
    <cellStyle name="Normal 18 5 6 3 2" xfId="2629" xr:uid="{76882885-80CF-48A7-873F-94B113D8267E}"/>
    <cellStyle name="Normal 18 5 6 4" xfId="2626" xr:uid="{FD3A9A74-FFE3-4C05-AF29-770AB8C7A193}"/>
    <cellStyle name="Normal 18 5 7" xfId="1240" xr:uid="{00000000-0005-0000-0000-0000D8040000}"/>
    <cellStyle name="Normal 18 5 7 2" xfId="1241" xr:uid="{00000000-0005-0000-0000-0000D9040000}"/>
    <cellStyle name="Normal 18 5 7 2 2" xfId="1242" xr:uid="{00000000-0005-0000-0000-0000DA040000}"/>
    <cellStyle name="Normal 18 5 7 2 2 2" xfId="2632" xr:uid="{339F1B98-2201-4AF8-95EF-59E45FB76218}"/>
    <cellStyle name="Normal 18 5 7 2 3" xfId="2631" xr:uid="{FEC7FA31-5EFE-4E02-B334-BF4AF126BF39}"/>
    <cellStyle name="Normal 18 5 7 3" xfId="1243" xr:uid="{00000000-0005-0000-0000-0000DB040000}"/>
    <cellStyle name="Normal 18 5 7 3 2" xfId="2633" xr:uid="{554B7687-E3E0-4D61-AD0A-1EF0F7212449}"/>
    <cellStyle name="Normal 18 5 7 4" xfId="2630" xr:uid="{B1F50325-DD50-40EF-BF03-6FAB5C967F7E}"/>
    <cellStyle name="Normal 18 5 8" xfId="1244" xr:uid="{00000000-0005-0000-0000-0000DC040000}"/>
    <cellStyle name="Normal 18 5 8 2" xfId="1245" xr:uid="{00000000-0005-0000-0000-0000DD040000}"/>
    <cellStyle name="Normal 18 5 8 2 2" xfId="2635" xr:uid="{ED7FE828-CF05-4876-B5CD-70D5D32080DA}"/>
    <cellStyle name="Normal 18 5 8 3" xfId="2634" xr:uid="{B3AB4832-B408-452F-B638-5991F2C9B84A}"/>
    <cellStyle name="Normal 18 5 9" xfId="1246" xr:uid="{00000000-0005-0000-0000-0000DE040000}"/>
    <cellStyle name="Normal 18 5 9 2" xfId="1247" xr:uid="{00000000-0005-0000-0000-0000DF040000}"/>
    <cellStyle name="Normal 18 5 9 2 2" xfId="2637" xr:uid="{BCB3B286-6B8A-4CB9-B914-5CFFCAC147BE}"/>
    <cellStyle name="Normal 18 5 9 3" xfId="2636" xr:uid="{A1553D1B-58B9-4F50-ACC7-9F8521D15E09}"/>
    <cellStyle name="Normal 18 6" xfId="1248" xr:uid="{00000000-0005-0000-0000-0000E0040000}"/>
    <cellStyle name="Normal 18 6 2" xfId="1249" xr:uid="{00000000-0005-0000-0000-0000E1040000}"/>
    <cellStyle name="Normal 18 6 2 2" xfId="1250" xr:uid="{00000000-0005-0000-0000-0000E2040000}"/>
    <cellStyle name="Normal 18 6 2 2 2" xfId="1251" xr:uid="{00000000-0005-0000-0000-0000E3040000}"/>
    <cellStyle name="Normal 18 6 2 2 2 2" xfId="1252" xr:uid="{00000000-0005-0000-0000-0000E4040000}"/>
    <cellStyle name="Normal 18 6 2 2 2 2 2" xfId="1253" xr:uid="{00000000-0005-0000-0000-0000E5040000}"/>
    <cellStyle name="Normal 18 6 2 2 2 2 2 2" xfId="2643" xr:uid="{A2F67479-A67F-4018-A5FA-900AE6C79229}"/>
    <cellStyle name="Normal 18 6 2 2 2 2 3" xfId="2642" xr:uid="{E15F883D-834C-418C-BB3F-4C1DC66DE844}"/>
    <cellStyle name="Normal 18 6 2 2 2 3" xfId="1254" xr:uid="{00000000-0005-0000-0000-0000E6040000}"/>
    <cellStyle name="Normal 18 6 2 2 2 3 2" xfId="2644" xr:uid="{3FC36900-6CF9-4561-92B9-C8B96151643E}"/>
    <cellStyle name="Normal 18 6 2 2 2 4" xfId="2641" xr:uid="{54C54342-8BC3-4B60-9C39-4A2EC92F2CD1}"/>
    <cellStyle name="Normal 18 6 2 2 3" xfId="1255" xr:uid="{00000000-0005-0000-0000-0000E7040000}"/>
    <cellStyle name="Normal 18 6 2 2 3 2" xfId="1256" xr:uid="{00000000-0005-0000-0000-0000E8040000}"/>
    <cellStyle name="Normal 18 6 2 2 3 2 2" xfId="1257" xr:uid="{00000000-0005-0000-0000-0000E9040000}"/>
    <cellStyle name="Normal 18 6 2 2 3 2 2 2" xfId="2647" xr:uid="{555F938C-83F2-430E-872E-7613943D65CC}"/>
    <cellStyle name="Normal 18 6 2 2 3 2 3" xfId="2646" xr:uid="{70DBA477-0FF7-4CA3-81F0-00CE2C6F6E2E}"/>
    <cellStyle name="Normal 18 6 2 2 3 3" xfId="1258" xr:uid="{00000000-0005-0000-0000-0000EA040000}"/>
    <cellStyle name="Normal 18 6 2 2 3 3 2" xfId="2648" xr:uid="{8736F2D3-82B8-4A7D-B7D3-1390751753AA}"/>
    <cellStyle name="Normal 18 6 2 2 3 4" xfId="2645" xr:uid="{04B61CB9-83CB-4068-8491-95A24F12785A}"/>
    <cellStyle name="Normal 18 6 2 2 4" xfId="1259" xr:uid="{00000000-0005-0000-0000-0000EB040000}"/>
    <cellStyle name="Normal 18 6 2 2 4 2" xfId="1260" xr:uid="{00000000-0005-0000-0000-0000EC040000}"/>
    <cellStyle name="Normal 18 6 2 2 4 2 2" xfId="2650" xr:uid="{02307F5B-40C7-4A96-926D-999E0ABCE52F}"/>
    <cellStyle name="Normal 18 6 2 2 4 3" xfId="2649" xr:uid="{D0C3CAD1-7EE6-4440-BD91-12F9E45DC67B}"/>
    <cellStyle name="Normal 18 6 2 2 5" xfId="1261" xr:uid="{00000000-0005-0000-0000-0000ED040000}"/>
    <cellStyle name="Normal 18 6 2 2 5 2" xfId="1262" xr:uid="{00000000-0005-0000-0000-0000EE040000}"/>
    <cellStyle name="Normal 18 6 2 2 5 2 2" xfId="2652" xr:uid="{6D951326-9D35-428A-9C9D-365E250B2001}"/>
    <cellStyle name="Normal 18 6 2 2 5 3" xfId="2651" xr:uid="{F065D40D-093D-4F15-9796-A2032D13956D}"/>
    <cellStyle name="Normal 18 6 2 2 6" xfId="1263" xr:uid="{00000000-0005-0000-0000-0000EF040000}"/>
    <cellStyle name="Normal 18 6 2 2 6 2" xfId="2653" xr:uid="{0CFCD058-B31F-4105-88D6-CFB1DF865FD7}"/>
    <cellStyle name="Normal 18 6 2 2 7" xfId="2640" xr:uid="{1F06297C-4873-4404-861E-5DFA433CAD45}"/>
    <cellStyle name="Normal 18 6 2 3" xfId="1264" xr:uid="{00000000-0005-0000-0000-0000F0040000}"/>
    <cellStyle name="Normal 18 6 2 3 2" xfId="1265" xr:uid="{00000000-0005-0000-0000-0000F1040000}"/>
    <cellStyle name="Normal 18 6 2 3 2 2" xfId="1266" xr:uid="{00000000-0005-0000-0000-0000F2040000}"/>
    <cellStyle name="Normal 18 6 2 3 2 2 2" xfId="2656" xr:uid="{46F651F6-8CAD-4E0F-92E6-1319B622256C}"/>
    <cellStyle name="Normal 18 6 2 3 2 3" xfId="2655" xr:uid="{771C23A3-844E-4FAE-A451-0E73C2DAF2AF}"/>
    <cellStyle name="Normal 18 6 2 3 3" xfId="1267" xr:uid="{00000000-0005-0000-0000-0000F3040000}"/>
    <cellStyle name="Normal 18 6 2 3 3 2" xfId="2657" xr:uid="{14E2E148-DA79-4039-9476-D4747B06C031}"/>
    <cellStyle name="Normal 18 6 2 3 4" xfId="2654" xr:uid="{01EC5498-7631-4779-8BB0-380AA6299940}"/>
    <cellStyle name="Normal 18 6 2 4" xfId="1268" xr:uid="{00000000-0005-0000-0000-0000F4040000}"/>
    <cellStyle name="Normal 18 6 2 4 2" xfId="1269" xr:uid="{00000000-0005-0000-0000-0000F5040000}"/>
    <cellStyle name="Normal 18 6 2 4 2 2" xfId="1270" xr:uid="{00000000-0005-0000-0000-0000F6040000}"/>
    <cellStyle name="Normal 18 6 2 4 2 2 2" xfId="2660" xr:uid="{A7392CA7-BD13-4C95-91BF-598004E34554}"/>
    <cellStyle name="Normal 18 6 2 4 2 3" xfId="2659" xr:uid="{C91A33CA-1D01-4F00-A756-D4D7316B85AC}"/>
    <cellStyle name="Normal 18 6 2 4 3" xfId="1271" xr:uid="{00000000-0005-0000-0000-0000F7040000}"/>
    <cellStyle name="Normal 18 6 2 4 3 2" xfId="2661" xr:uid="{B73240E0-F017-4AA9-97EE-703A1F65DE77}"/>
    <cellStyle name="Normal 18 6 2 4 4" xfId="2658" xr:uid="{34AF8B8E-3311-4C8A-93FB-708B07D50E69}"/>
    <cellStyle name="Normal 18 6 2 5" xfId="1272" xr:uid="{00000000-0005-0000-0000-0000F8040000}"/>
    <cellStyle name="Normal 18 6 2 5 2" xfId="1273" xr:uid="{00000000-0005-0000-0000-0000F9040000}"/>
    <cellStyle name="Normal 18 6 2 5 2 2" xfId="2663" xr:uid="{0D4E1A67-7328-4B4C-9E78-E9CC01BAD7C7}"/>
    <cellStyle name="Normal 18 6 2 5 3" xfId="2662" xr:uid="{5C56A491-ACB4-45C4-ACAD-67EA88A47E50}"/>
    <cellStyle name="Normal 18 6 2 6" xfId="1274" xr:uid="{00000000-0005-0000-0000-0000FA040000}"/>
    <cellStyle name="Normal 18 6 2 6 2" xfId="1275" xr:uid="{00000000-0005-0000-0000-0000FB040000}"/>
    <cellStyle name="Normal 18 6 2 6 2 2" xfId="2665" xr:uid="{794D1089-BA3C-4F75-9FD3-F1457DC5A1A5}"/>
    <cellStyle name="Normal 18 6 2 6 3" xfId="2664" xr:uid="{2A8F5535-A1D5-49DC-814F-F1C14CD0A827}"/>
    <cellStyle name="Normal 18 6 2 7" xfId="1276" xr:uid="{00000000-0005-0000-0000-0000FC040000}"/>
    <cellStyle name="Normal 18 6 2 7 2" xfId="2666" xr:uid="{D428A58F-8F19-4A0E-86F9-0986441D6766}"/>
    <cellStyle name="Normal 18 6 2 8" xfId="2639" xr:uid="{FC768FCF-D2CA-4F73-A193-438FE27209DA}"/>
    <cellStyle name="Normal 18 6 3" xfId="1277" xr:uid="{00000000-0005-0000-0000-0000FD040000}"/>
    <cellStyle name="Normal 18 6 3 2" xfId="1278" xr:uid="{00000000-0005-0000-0000-0000FE040000}"/>
    <cellStyle name="Normal 18 6 3 2 2" xfId="1279" xr:uid="{00000000-0005-0000-0000-0000FF040000}"/>
    <cellStyle name="Normal 18 6 3 2 2 2" xfId="1280" xr:uid="{00000000-0005-0000-0000-000000050000}"/>
    <cellStyle name="Normal 18 6 3 2 2 2 2" xfId="2670" xr:uid="{D75F1655-6CB4-43AA-A70F-8CF4EE521D38}"/>
    <cellStyle name="Normal 18 6 3 2 2 3" xfId="2669" xr:uid="{675222D6-FCA2-41ED-B2AB-3AC9771FF97A}"/>
    <cellStyle name="Normal 18 6 3 2 3" xfId="1281" xr:uid="{00000000-0005-0000-0000-000001050000}"/>
    <cellStyle name="Normal 18 6 3 2 3 2" xfId="2671" xr:uid="{E93F3B14-D37A-489B-9408-210BEFAFDACB}"/>
    <cellStyle name="Normal 18 6 3 2 4" xfId="2668" xr:uid="{BC5DB5BD-19FA-47EA-AA6B-9A3D0B292B02}"/>
    <cellStyle name="Normal 18 6 3 3" xfId="1282" xr:uid="{00000000-0005-0000-0000-000002050000}"/>
    <cellStyle name="Normal 18 6 3 3 2" xfId="1283" xr:uid="{00000000-0005-0000-0000-000003050000}"/>
    <cellStyle name="Normal 18 6 3 3 2 2" xfId="1284" xr:uid="{00000000-0005-0000-0000-000004050000}"/>
    <cellStyle name="Normal 18 6 3 3 2 2 2" xfId="2674" xr:uid="{40813DC2-9C46-4760-9655-3832BC4852CD}"/>
    <cellStyle name="Normal 18 6 3 3 2 3" xfId="2673" xr:uid="{1E8EBAC9-6B53-4165-B30D-8D3268BF92DB}"/>
    <cellStyle name="Normal 18 6 3 3 3" xfId="1285" xr:uid="{00000000-0005-0000-0000-000005050000}"/>
    <cellStyle name="Normal 18 6 3 3 3 2" xfId="2675" xr:uid="{587E5208-E2B4-4CC9-A806-389681E65BC4}"/>
    <cellStyle name="Normal 18 6 3 3 4" xfId="2672" xr:uid="{57AFC8C8-02BA-4C1A-9675-D39333E6DBA2}"/>
    <cellStyle name="Normal 18 6 3 4" xfId="1286" xr:uid="{00000000-0005-0000-0000-000006050000}"/>
    <cellStyle name="Normal 18 6 3 4 2" xfId="1287" xr:uid="{00000000-0005-0000-0000-000007050000}"/>
    <cellStyle name="Normal 18 6 3 4 2 2" xfId="2677" xr:uid="{17B6B8C4-1C5A-44C5-9386-22CABF703EB3}"/>
    <cellStyle name="Normal 18 6 3 4 3" xfId="2676" xr:uid="{D29654C7-0DA8-4168-9663-BDF7D55B763D}"/>
    <cellStyle name="Normal 18 6 3 5" xfId="1288" xr:uid="{00000000-0005-0000-0000-000008050000}"/>
    <cellStyle name="Normal 18 6 3 5 2" xfId="1289" xr:uid="{00000000-0005-0000-0000-000009050000}"/>
    <cellStyle name="Normal 18 6 3 5 2 2" xfId="2679" xr:uid="{C8E44A44-280E-4026-92B2-2B4D0B1A49D0}"/>
    <cellStyle name="Normal 18 6 3 5 3" xfId="2678" xr:uid="{D9087C41-DE95-4365-B2FE-6259F9B5B9ED}"/>
    <cellStyle name="Normal 18 6 3 6" xfId="1290" xr:uid="{00000000-0005-0000-0000-00000A050000}"/>
    <cellStyle name="Normal 18 6 3 6 2" xfId="2680" xr:uid="{1D3C724C-0D9E-422B-803A-168A8713CAB9}"/>
    <cellStyle name="Normal 18 6 3 7" xfId="2667" xr:uid="{CFD14731-144D-4541-AB9B-1A56B916A59F}"/>
    <cellStyle name="Normal 18 6 4" xfId="1291" xr:uid="{00000000-0005-0000-0000-00000B050000}"/>
    <cellStyle name="Normal 18 6 4 2" xfId="1292" xr:uid="{00000000-0005-0000-0000-00000C050000}"/>
    <cellStyle name="Normal 18 6 4 2 2" xfId="1293" xr:uid="{00000000-0005-0000-0000-00000D050000}"/>
    <cellStyle name="Normal 18 6 4 2 2 2" xfId="2683" xr:uid="{B7017800-6074-415E-80DD-63CE257B86C9}"/>
    <cellStyle name="Normal 18 6 4 2 3" xfId="2682" xr:uid="{221E9E93-9EFF-4D5E-9800-03DCEB022EA6}"/>
    <cellStyle name="Normal 18 6 4 3" xfId="1294" xr:uid="{00000000-0005-0000-0000-00000E050000}"/>
    <cellStyle name="Normal 18 6 4 3 2" xfId="2684" xr:uid="{821CDB14-C7EF-43D7-99CD-ECE6148231C1}"/>
    <cellStyle name="Normal 18 6 4 4" xfId="2681" xr:uid="{C81C08D4-7DB4-4A25-98D4-0E2C694F5DAC}"/>
    <cellStyle name="Normal 18 6 5" xfId="1295" xr:uid="{00000000-0005-0000-0000-00000F050000}"/>
    <cellStyle name="Normal 18 6 5 2" xfId="1296" xr:uid="{00000000-0005-0000-0000-000010050000}"/>
    <cellStyle name="Normal 18 6 5 2 2" xfId="1297" xr:uid="{00000000-0005-0000-0000-000011050000}"/>
    <cellStyle name="Normal 18 6 5 2 2 2" xfId="2687" xr:uid="{4A13A4B6-D98A-4EA9-837D-E9CF27DBF6CC}"/>
    <cellStyle name="Normal 18 6 5 2 3" xfId="2686" xr:uid="{3C9D0945-0C9E-4D29-B63A-EA661CD3CDCA}"/>
    <cellStyle name="Normal 18 6 5 3" xfId="1298" xr:uid="{00000000-0005-0000-0000-000012050000}"/>
    <cellStyle name="Normal 18 6 5 3 2" xfId="2688" xr:uid="{3E769ED1-E5E4-4042-B778-C08B3E48FCB4}"/>
    <cellStyle name="Normal 18 6 5 4" xfId="2685" xr:uid="{34E75E94-E3C8-462A-A2C5-6F2CC4EEF5BF}"/>
    <cellStyle name="Normal 18 6 6" xfId="1299" xr:uid="{00000000-0005-0000-0000-000013050000}"/>
    <cellStyle name="Normal 18 6 6 2" xfId="1300" xr:uid="{00000000-0005-0000-0000-000014050000}"/>
    <cellStyle name="Normal 18 6 6 2 2" xfId="2690" xr:uid="{C1EDD03D-5BD4-4478-A47B-90C58E9F22C0}"/>
    <cellStyle name="Normal 18 6 6 3" xfId="2689" xr:uid="{B218F788-DD1D-4D9B-888B-4E601A5657EC}"/>
    <cellStyle name="Normal 18 6 7" xfId="1301" xr:uid="{00000000-0005-0000-0000-000015050000}"/>
    <cellStyle name="Normal 18 6 7 2" xfId="1302" xr:uid="{00000000-0005-0000-0000-000016050000}"/>
    <cellStyle name="Normal 18 6 7 2 2" xfId="2692" xr:uid="{9BECAB09-E306-40FE-9ED2-874173676517}"/>
    <cellStyle name="Normal 18 6 7 3" xfId="2691" xr:uid="{2F465545-F82B-4E9A-8B2A-8C8769EF9F8F}"/>
    <cellStyle name="Normal 18 6 8" xfId="1303" xr:uid="{00000000-0005-0000-0000-000017050000}"/>
    <cellStyle name="Normal 18 6 8 2" xfId="2693" xr:uid="{41F2AB82-034F-4201-A9EF-E4A278E63F1B}"/>
    <cellStyle name="Normal 18 6 9" xfId="2638" xr:uid="{894562F8-333F-4717-B46C-5AB4D3705777}"/>
    <cellStyle name="Normal 18 7" xfId="1304" xr:uid="{00000000-0005-0000-0000-000018050000}"/>
    <cellStyle name="Normal 18 7 2" xfId="1305" xr:uid="{00000000-0005-0000-0000-000019050000}"/>
    <cellStyle name="Normal 18 7 2 2" xfId="1306" xr:uid="{00000000-0005-0000-0000-00001A050000}"/>
    <cellStyle name="Normal 18 7 2 2 2" xfId="1307" xr:uid="{00000000-0005-0000-0000-00001B050000}"/>
    <cellStyle name="Normal 18 7 2 2 2 2" xfId="1308" xr:uid="{00000000-0005-0000-0000-00001C050000}"/>
    <cellStyle name="Normal 18 7 2 2 2 2 2" xfId="2698" xr:uid="{A4692803-E948-49C2-BDDC-4762A935716E}"/>
    <cellStyle name="Normal 18 7 2 2 2 3" xfId="2697" xr:uid="{1613DF28-909F-41A5-A11B-FC34C8877F6E}"/>
    <cellStyle name="Normal 18 7 2 2 3" xfId="1309" xr:uid="{00000000-0005-0000-0000-00001D050000}"/>
    <cellStyle name="Normal 18 7 2 2 3 2" xfId="2699" xr:uid="{33E2A7B7-D413-40AC-B719-6175FD680449}"/>
    <cellStyle name="Normal 18 7 2 2 4" xfId="2696" xr:uid="{0604229A-5F10-48ED-B4DD-1692EAA8705E}"/>
    <cellStyle name="Normal 18 7 2 3" xfId="1310" xr:uid="{00000000-0005-0000-0000-00001E050000}"/>
    <cellStyle name="Normal 18 7 2 3 2" xfId="1311" xr:uid="{00000000-0005-0000-0000-00001F050000}"/>
    <cellStyle name="Normal 18 7 2 3 2 2" xfId="1312" xr:uid="{00000000-0005-0000-0000-000020050000}"/>
    <cellStyle name="Normal 18 7 2 3 2 2 2" xfId="2702" xr:uid="{E0602A4A-77A3-4CEC-8CDA-6184D863C755}"/>
    <cellStyle name="Normal 18 7 2 3 2 3" xfId="2701" xr:uid="{693D7C78-55F3-44A6-85CE-FD0ABC2AE1CE}"/>
    <cellStyle name="Normal 18 7 2 3 3" xfId="1313" xr:uid="{00000000-0005-0000-0000-000021050000}"/>
    <cellStyle name="Normal 18 7 2 3 3 2" xfId="2703" xr:uid="{3757BB77-8B68-470F-A7C5-C4CFFBE40115}"/>
    <cellStyle name="Normal 18 7 2 3 4" xfId="2700" xr:uid="{83A16FD5-FB46-4BED-913D-DD07B5CAF510}"/>
    <cellStyle name="Normal 18 7 2 4" xfId="1314" xr:uid="{00000000-0005-0000-0000-000022050000}"/>
    <cellStyle name="Normal 18 7 2 4 2" xfId="1315" xr:uid="{00000000-0005-0000-0000-000023050000}"/>
    <cellStyle name="Normal 18 7 2 4 2 2" xfId="2705" xr:uid="{1C3BA2B1-46E4-49A1-BC7F-8AAD7E6ED782}"/>
    <cellStyle name="Normal 18 7 2 4 3" xfId="2704" xr:uid="{F62641FA-4AE8-4583-AD3A-67AFF3C7B4D5}"/>
    <cellStyle name="Normal 18 7 2 5" xfId="1316" xr:uid="{00000000-0005-0000-0000-000024050000}"/>
    <cellStyle name="Normal 18 7 2 5 2" xfId="1317" xr:uid="{00000000-0005-0000-0000-000025050000}"/>
    <cellStyle name="Normal 18 7 2 5 2 2" xfId="2707" xr:uid="{579A6FA7-CF46-44BC-AFD8-DECC6A3F9EC4}"/>
    <cellStyle name="Normal 18 7 2 5 3" xfId="2706" xr:uid="{06FB5F69-7A82-49E3-A699-4A89E7B36FAA}"/>
    <cellStyle name="Normal 18 7 2 6" xfId="1318" xr:uid="{00000000-0005-0000-0000-000026050000}"/>
    <cellStyle name="Normal 18 7 2 6 2" xfId="2708" xr:uid="{1730481A-AAED-4C38-BF06-BD3FEEB18416}"/>
    <cellStyle name="Normal 18 7 2 7" xfId="2695" xr:uid="{C35F2DDB-7C49-449B-A74D-A25D4AD1F586}"/>
    <cellStyle name="Normal 18 7 3" xfId="1319" xr:uid="{00000000-0005-0000-0000-000027050000}"/>
    <cellStyle name="Normal 18 7 3 2" xfId="1320" xr:uid="{00000000-0005-0000-0000-000028050000}"/>
    <cellStyle name="Normal 18 7 3 2 2" xfId="1321" xr:uid="{00000000-0005-0000-0000-000029050000}"/>
    <cellStyle name="Normal 18 7 3 2 2 2" xfId="2711" xr:uid="{9F5FC2D7-CDB6-4460-B229-6026F8E5E234}"/>
    <cellStyle name="Normal 18 7 3 2 3" xfId="2710" xr:uid="{3366DFF8-1347-45E3-A189-AF3E34689B2F}"/>
    <cellStyle name="Normal 18 7 3 3" xfId="1322" xr:uid="{00000000-0005-0000-0000-00002A050000}"/>
    <cellStyle name="Normal 18 7 3 3 2" xfId="2712" xr:uid="{4473602B-1525-4769-8491-B5DBB85EBC02}"/>
    <cellStyle name="Normal 18 7 3 4" xfId="2709" xr:uid="{FA72EF33-56C9-4E25-8473-AA7425FCAD86}"/>
    <cellStyle name="Normal 18 7 4" xfId="1323" xr:uid="{00000000-0005-0000-0000-00002B050000}"/>
    <cellStyle name="Normal 18 7 4 2" xfId="1324" xr:uid="{00000000-0005-0000-0000-00002C050000}"/>
    <cellStyle name="Normal 18 7 4 2 2" xfId="1325" xr:uid="{00000000-0005-0000-0000-00002D050000}"/>
    <cellStyle name="Normal 18 7 4 2 2 2" xfId="2715" xr:uid="{96F0B95D-46C8-4E75-8CB7-C7942E0895EB}"/>
    <cellStyle name="Normal 18 7 4 2 3" xfId="2714" xr:uid="{CC2F4361-5976-4CDE-A19C-A1BEA87053CF}"/>
    <cellStyle name="Normal 18 7 4 3" xfId="1326" xr:uid="{00000000-0005-0000-0000-00002E050000}"/>
    <cellStyle name="Normal 18 7 4 3 2" xfId="2716" xr:uid="{353C8D99-528B-47CD-9744-A055B1EC19F4}"/>
    <cellStyle name="Normal 18 7 4 4" xfId="2713" xr:uid="{6422AAEA-0E5E-437F-A354-090AAB524B86}"/>
    <cellStyle name="Normal 18 7 5" xfId="1327" xr:uid="{00000000-0005-0000-0000-00002F050000}"/>
    <cellStyle name="Normal 18 7 5 2" xfId="1328" xr:uid="{00000000-0005-0000-0000-000030050000}"/>
    <cellStyle name="Normal 18 7 5 2 2" xfId="2718" xr:uid="{10D3C76B-FCF0-46D3-B30C-7AC042633043}"/>
    <cellStyle name="Normal 18 7 5 3" xfId="2717" xr:uid="{9FD5E7EC-FFAE-4D10-A0FD-FA0376D469BD}"/>
    <cellStyle name="Normal 18 7 6" xfId="1329" xr:uid="{00000000-0005-0000-0000-000031050000}"/>
    <cellStyle name="Normal 18 7 6 2" xfId="1330" xr:uid="{00000000-0005-0000-0000-000032050000}"/>
    <cellStyle name="Normal 18 7 6 2 2" xfId="2720" xr:uid="{0E485823-4BB9-4A2E-93B5-CCD6F2A7F227}"/>
    <cellStyle name="Normal 18 7 6 3" xfId="2719" xr:uid="{EB0DE8FB-D90F-41FA-B7A7-BCC095FDD03E}"/>
    <cellStyle name="Normal 18 7 7" xfId="1331" xr:uid="{00000000-0005-0000-0000-000033050000}"/>
    <cellStyle name="Normal 18 7 7 2" xfId="2721" xr:uid="{3D23CE12-3D05-416E-B6D5-721ACA405289}"/>
    <cellStyle name="Normal 18 7 8" xfId="2694" xr:uid="{CEAD8BCD-96F7-436E-9888-ED5E9E0B59A3}"/>
    <cellStyle name="Normal 18 8" xfId="1332" xr:uid="{00000000-0005-0000-0000-000034050000}"/>
    <cellStyle name="Normal 18 8 2" xfId="1333" xr:uid="{00000000-0005-0000-0000-000035050000}"/>
    <cellStyle name="Normal 18 8 2 2" xfId="1334" xr:uid="{00000000-0005-0000-0000-000036050000}"/>
    <cellStyle name="Normal 18 8 2 2 2" xfId="1335" xr:uid="{00000000-0005-0000-0000-000037050000}"/>
    <cellStyle name="Normal 18 8 2 2 2 2" xfId="1336" xr:uid="{00000000-0005-0000-0000-000038050000}"/>
    <cellStyle name="Normal 18 8 2 2 2 2 2" xfId="2726" xr:uid="{CD23F00B-1CA9-4763-965F-28A1C6778008}"/>
    <cellStyle name="Normal 18 8 2 2 2 3" xfId="2725" xr:uid="{773B43EB-20EE-4450-84AB-3BDB183CA586}"/>
    <cellStyle name="Normal 18 8 2 2 3" xfId="1337" xr:uid="{00000000-0005-0000-0000-000039050000}"/>
    <cellStyle name="Normal 18 8 2 2 3 2" xfId="2727" xr:uid="{4A0285F6-9749-410E-B2C7-D7476935A88C}"/>
    <cellStyle name="Normal 18 8 2 2 4" xfId="2724" xr:uid="{AEE9FF0D-579B-428F-9E7C-D77F1B45C61F}"/>
    <cellStyle name="Normal 18 8 2 3" xfId="1338" xr:uid="{00000000-0005-0000-0000-00003A050000}"/>
    <cellStyle name="Normal 18 8 2 3 2" xfId="1339" xr:uid="{00000000-0005-0000-0000-00003B050000}"/>
    <cellStyle name="Normal 18 8 2 3 2 2" xfId="1340" xr:uid="{00000000-0005-0000-0000-00003C050000}"/>
    <cellStyle name="Normal 18 8 2 3 2 2 2" xfId="2730" xr:uid="{6E3D8258-C77F-46D4-8023-835322627643}"/>
    <cellStyle name="Normal 18 8 2 3 2 3" xfId="2729" xr:uid="{69191E05-DB19-4BE2-B211-9D44D860B63C}"/>
    <cellStyle name="Normal 18 8 2 3 3" xfId="1341" xr:uid="{00000000-0005-0000-0000-00003D050000}"/>
    <cellStyle name="Normal 18 8 2 3 3 2" xfId="2731" xr:uid="{3817D63F-A26D-441B-A5E1-213E8FDC04FE}"/>
    <cellStyle name="Normal 18 8 2 3 4" xfId="2728" xr:uid="{478831AD-1E4A-4293-A9FF-AB230748069F}"/>
    <cellStyle name="Normal 18 8 2 4" xfId="1342" xr:uid="{00000000-0005-0000-0000-00003E050000}"/>
    <cellStyle name="Normal 18 8 2 4 2" xfId="1343" xr:uid="{00000000-0005-0000-0000-00003F050000}"/>
    <cellStyle name="Normal 18 8 2 4 2 2" xfId="2733" xr:uid="{663DB21A-8E51-4138-A6B3-F0804834F983}"/>
    <cellStyle name="Normal 18 8 2 4 3" xfId="2732" xr:uid="{A572C71D-185A-4248-AC45-9BFB2AD0DDB1}"/>
    <cellStyle name="Normal 18 8 2 5" xfId="1344" xr:uid="{00000000-0005-0000-0000-000040050000}"/>
    <cellStyle name="Normal 18 8 2 5 2" xfId="1345" xr:uid="{00000000-0005-0000-0000-000041050000}"/>
    <cellStyle name="Normal 18 8 2 5 2 2" xfId="2735" xr:uid="{017F6C1E-B592-4E07-8BE2-2CC0F7F85889}"/>
    <cellStyle name="Normal 18 8 2 5 3" xfId="2734" xr:uid="{F4CC237C-617F-4C28-BD17-9557BB2B704B}"/>
    <cellStyle name="Normal 18 8 2 6" xfId="1346" xr:uid="{00000000-0005-0000-0000-000042050000}"/>
    <cellStyle name="Normal 18 8 2 6 2" xfId="2736" xr:uid="{43D92154-7FF6-47F2-ABA4-BDFA4B88ED8C}"/>
    <cellStyle name="Normal 18 8 2 7" xfId="2723" xr:uid="{EE432511-C720-40E0-89C8-8B9E11C5DFDE}"/>
    <cellStyle name="Normal 18 8 3" xfId="1347" xr:uid="{00000000-0005-0000-0000-000043050000}"/>
    <cellStyle name="Normal 18 8 3 2" xfId="1348" xr:uid="{00000000-0005-0000-0000-000044050000}"/>
    <cellStyle name="Normal 18 8 3 2 2" xfId="1349" xr:uid="{00000000-0005-0000-0000-000045050000}"/>
    <cellStyle name="Normal 18 8 3 2 2 2" xfId="2739" xr:uid="{FEB37C2A-FA25-474F-BBCE-1B5AA1BEA386}"/>
    <cellStyle name="Normal 18 8 3 2 3" xfId="2738" xr:uid="{92FB1B0E-6529-46D4-A64F-9C4B90F8E7B1}"/>
    <cellStyle name="Normal 18 8 3 3" xfId="1350" xr:uid="{00000000-0005-0000-0000-000046050000}"/>
    <cellStyle name="Normal 18 8 3 3 2" xfId="2740" xr:uid="{53DA1F1E-63C0-4259-8F36-6717BFC311FA}"/>
    <cellStyle name="Normal 18 8 3 4" xfId="2737" xr:uid="{135CF0D5-1014-490B-8205-9FB322F8D5B9}"/>
    <cellStyle name="Normal 18 8 4" xfId="1351" xr:uid="{00000000-0005-0000-0000-000047050000}"/>
    <cellStyle name="Normal 18 8 4 2" xfId="1352" xr:uid="{00000000-0005-0000-0000-000048050000}"/>
    <cellStyle name="Normal 18 8 4 2 2" xfId="1353" xr:uid="{00000000-0005-0000-0000-000049050000}"/>
    <cellStyle name="Normal 18 8 4 2 2 2" xfId="2743" xr:uid="{F0047884-55A7-457B-B863-252D83B71177}"/>
    <cellStyle name="Normal 18 8 4 2 3" xfId="2742" xr:uid="{7BDC995B-89B6-4181-BA87-5A4F6528B183}"/>
    <cellStyle name="Normal 18 8 4 3" xfId="1354" xr:uid="{00000000-0005-0000-0000-00004A050000}"/>
    <cellStyle name="Normal 18 8 4 3 2" xfId="2744" xr:uid="{CEBBFB1C-02DA-45F6-B22F-799D440E8A85}"/>
    <cellStyle name="Normal 18 8 4 4" xfId="2741" xr:uid="{1A9FF3B8-FACD-4FC1-931E-B99BB72B43E2}"/>
    <cellStyle name="Normal 18 8 5" xfId="1355" xr:uid="{00000000-0005-0000-0000-00004B050000}"/>
    <cellStyle name="Normal 18 8 5 2" xfId="1356" xr:uid="{00000000-0005-0000-0000-00004C050000}"/>
    <cellStyle name="Normal 18 8 5 2 2" xfId="2746" xr:uid="{966698F2-2A4A-4E86-88FD-DBC6EA141976}"/>
    <cellStyle name="Normal 18 8 5 3" xfId="2745" xr:uid="{80D846F2-3ECE-43B5-8872-659B2985EA7C}"/>
    <cellStyle name="Normal 18 8 6" xfId="1357" xr:uid="{00000000-0005-0000-0000-00004D050000}"/>
    <cellStyle name="Normal 18 8 6 2" xfId="1358" xr:uid="{00000000-0005-0000-0000-00004E050000}"/>
    <cellStyle name="Normal 18 8 6 2 2" xfId="2748" xr:uid="{675320EE-1341-41B4-B6E6-A203D2580786}"/>
    <cellStyle name="Normal 18 8 6 3" xfId="2747" xr:uid="{3D2E12CA-2B6D-49A8-BF81-4A1248AFA541}"/>
    <cellStyle name="Normal 18 8 7" xfId="1359" xr:uid="{00000000-0005-0000-0000-00004F050000}"/>
    <cellStyle name="Normal 18 8 7 2" xfId="2749" xr:uid="{EAB73C36-9849-47FA-BA36-9E5A38018157}"/>
    <cellStyle name="Normal 18 8 8" xfId="2722" xr:uid="{88757AB5-FB07-4A77-80DB-02846F6FDEE5}"/>
    <cellStyle name="Normal 18 9" xfId="1360" xr:uid="{00000000-0005-0000-0000-000050050000}"/>
    <cellStyle name="Normal 18 9 2" xfId="1361" xr:uid="{00000000-0005-0000-0000-000051050000}"/>
    <cellStyle name="Normal 18 9 2 2" xfId="1362" xr:uid="{00000000-0005-0000-0000-000052050000}"/>
    <cellStyle name="Normal 18 9 2 2 2" xfId="1363" xr:uid="{00000000-0005-0000-0000-000053050000}"/>
    <cellStyle name="Normal 18 9 2 2 2 2" xfId="2753" xr:uid="{50B02011-6C27-479E-B700-015087A68195}"/>
    <cellStyle name="Normal 18 9 2 2 3" xfId="2752" xr:uid="{510B0347-8351-4D98-B3BA-37715FD25BB9}"/>
    <cellStyle name="Normal 18 9 2 3" xfId="1364" xr:uid="{00000000-0005-0000-0000-000054050000}"/>
    <cellStyle name="Normal 18 9 2 3 2" xfId="2754" xr:uid="{26252015-D792-4DD8-B7DC-83813627132D}"/>
    <cellStyle name="Normal 18 9 2 4" xfId="2751" xr:uid="{9A4D0A50-34EB-4A63-A258-A62966E58B1F}"/>
    <cellStyle name="Normal 18 9 3" xfId="1365" xr:uid="{00000000-0005-0000-0000-000055050000}"/>
    <cellStyle name="Normal 18 9 3 2" xfId="1366" xr:uid="{00000000-0005-0000-0000-000056050000}"/>
    <cellStyle name="Normal 18 9 3 2 2" xfId="1367" xr:uid="{00000000-0005-0000-0000-000057050000}"/>
    <cellStyle name="Normal 18 9 3 2 2 2" xfId="2757" xr:uid="{A51840CF-D935-436B-8A28-427F0B3B60BD}"/>
    <cellStyle name="Normal 18 9 3 2 3" xfId="2756" xr:uid="{24514E01-128E-4A53-A886-1AD481E6D99E}"/>
    <cellStyle name="Normal 18 9 3 3" xfId="1368" xr:uid="{00000000-0005-0000-0000-000058050000}"/>
    <cellStyle name="Normal 18 9 3 3 2" xfId="2758" xr:uid="{2D72140E-E718-4072-B252-BE10014CA643}"/>
    <cellStyle name="Normal 18 9 3 4" xfId="2755" xr:uid="{8315B082-A1F3-49A4-B3A8-E95593664EB8}"/>
    <cellStyle name="Normal 18 9 4" xfId="1369" xr:uid="{00000000-0005-0000-0000-000059050000}"/>
    <cellStyle name="Normal 18 9 4 2" xfId="1370" xr:uid="{00000000-0005-0000-0000-00005A050000}"/>
    <cellStyle name="Normal 18 9 4 2 2" xfId="2760" xr:uid="{B1CDF904-E7C7-4E0C-B0F8-9FF8F7C836F2}"/>
    <cellStyle name="Normal 18 9 4 3" xfId="2759" xr:uid="{6F043FE7-EF90-4D28-96A7-5E005BE7B8F5}"/>
    <cellStyle name="Normal 18 9 5" xfId="1371" xr:uid="{00000000-0005-0000-0000-00005B050000}"/>
    <cellStyle name="Normal 18 9 5 2" xfId="1372" xr:uid="{00000000-0005-0000-0000-00005C050000}"/>
    <cellStyle name="Normal 18 9 5 2 2" xfId="2762" xr:uid="{40930D38-FB76-4200-A4AB-9C6097E9D8FF}"/>
    <cellStyle name="Normal 18 9 5 3" xfId="2761" xr:uid="{C7690F39-9E2E-41C9-AC26-D2CFA129014D}"/>
    <cellStyle name="Normal 18 9 6" xfId="1373" xr:uid="{00000000-0005-0000-0000-00005D050000}"/>
    <cellStyle name="Normal 18 9 6 2" xfId="2763" xr:uid="{1F0EFE84-3E11-4AF0-97A7-30395A01FA28}"/>
    <cellStyle name="Normal 18 9 7" xfId="2750" xr:uid="{DBD29FA9-7811-41FD-979D-3CD34730C22B}"/>
    <cellStyle name="Normal 19" xfId="1374" xr:uid="{00000000-0005-0000-0000-00005E050000}"/>
    <cellStyle name="Normal 19 2" xfId="1375" xr:uid="{00000000-0005-0000-0000-00005F050000}"/>
    <cellStyle name="Normal 19 3" xfId="1376" xr:uid="{00000000-0005-0000-0000-000060050000}"/>
    <cellStyle name="Normal 19 4" xfId="1377" xr:uid="{00000000-0005-0000-0000-000061050000}"/>
    <cellStyle name="Normal 2" xfId="1378" xr:uid="{00000000-0005-0000-0000-000062050000}"/>
    <cellStyle name="Normal 2 10" xfId="1379" xr:uid="{00000000-0005-0000-0000-000063050000}"/>
    <cellStyle name="Normal 2 10 2" xfId="1380" xr:uid="{00000000-0005-0000-0000-000064050000}"/>
    <cellStyle name="Normal 2 10 2 2" xfId="1381" xr:uid="{00000000-0005-0000-0000-000065050000}"/>
    <cellStyle name="Normal 2 11" xfId="1382" xr:uid="{00000000-0005-0000-0000-000066050000}"/>
    <cellStyle name="Normal 2 11 2" xfId="1383" xr:uid="{00000000-0005-0000-0000-000067050000}"/>
    <cellStyle name="Normal 2 12" xfId="1384" xr:uid="{00000000-0005-0000-0000-000068050000}"/>
    <cellStyle name="Normal 2 13" xfId="1385" xr:uid="{00000000-0005-0000-0000-000069050000}"/>
    <cellStyle name="Normal 2 13 2" xfId="1386" xr:uid="{00000000-0005-0000-0000-00006A050000}"/>
    <cellStyle name="Normal 2 14" xfId="1387" xr:uid="{00000000-0005-0000-0000-00006B050000}"/>
    <cellStyle name="Normal 2 14 2" xfId="1388" xr:uid="{00000000-0005-0000-0000-00006C050000}"/>
    <cellStyle name="Normal 2 15" xfId="1389" xr:uid="{00000000-0005-0000-0000-00006D050000}"/>
    <cellStyle name="Normal 2 16" xfId="1390" xr:uid="{00000000-0005-0000-0000-00006E050000}"/>
    <cellStyle name="Normal 2 16 2" xfId="1391" xr:uid="{00000000-0005-0000-0000-00006F050000}"/>
    <cellStyle name="Normal 2 17" xfId="2907" xr:uid="{17A426C4-79A4-4F0B-91D6-05FEC2396D3A}"/>
    <cellStyle name="Normal 2 18" xfId="2933" xr:uid="{115DD375-6458-4FE4-9A83-9B60CE406004}"/>
    <cellStyle name="Normal 2 2" xfId="1392" xr:uid="{00000000-0005-0000-0000-000070050000}"/>
    <cellStyle name="Normal 2 2 2" xfId="1393" xr:uid="{00000000-0005-0000-0000-000071050000}"/>
    <cellStyle name="Normal 2 2 2 2" xfId="1394" xr:uid="{00000000-0005-0000-0000-000072050000}"/>
    <cellStyle name="Normal 2 2 2 2 2" xfId="1395" xr:uid="{00000000-0005-0000-0000-000073050000}"/>
    <cellStyle name="Normal 2 2 2 2 3" xfId="1969" xr:uid="{7893BAE2-4ECB-4C06-AD40-4FFA81FB585A}"/>
    <cellStyle name="Normal 2 2 2 3" xfId="1396" xr:uid="{00000000-0005-0000-0000-000074050000}"/>
    <cellStyle name="Normal 2 2 2 3 2" xfId="1397" xr:uid="{00000000-0005-0000-0000-000075050000}"/>
    <cellStyle name="Normal 2 2 2 4" xfId="1398" xr:uid="{00000000-0005-0000-0000-000076050000}"/>
    <cellStyle name="Normal 2 2 2 5" xfId="1968" xr:uid="{1F990ADE-2194-4CEA-9051-06DB3C1AFF1C}"/>
    <cellStyle name="Normal 2 2 3" xfId="1399" xr:uid="{00000000-0005-0000-0000-000077050000}"/>
    <cellStyle name="Normal 2 2 3 2" xfId="1400" xr:uid="{00000000-0005-0000-0000-000078050000}"/>
    <cellStyle name="Normal 2 2 3 3" xfId="1401" xr:uid="{00000000-0005-0000-0000-000079050000}"/>
    <cellStyle name="Normal 2 2 4" xfId="1402" xr:uid="{00000000-0005-0000-0000-00007A050000}"/>
    <cellStyle name="Normal 2 2 4 2" xfId="1403" xr:uid="{00000000-0005-0000-0000-00007B050000}"/>
    <cellStyle name="Normal 2 2 4 2 2" xfId="1404" xr:uid="{00000000-0005-0000-0000-00007C050000}"/>
    <cellStyle name="Normal 2 2 4 2 2 2" xfId="2898" xr:uid="{E42FD27E-427C-493D-8ACF-C97C011D90C8}"/>
    <cellStyle name="Normal 2 2 4 3" xfId="1405" xr:uid="{00000000-0005-0000-0000-00007D050000}"/>
    <cellStyle name="Normal 2 2 4 3 2" xfId="2886" xr:uid="{E8B2E051-E835-4918-95D9-524D92FAEDA9}"/>
    <cellStyle name="Normal 2 2 4 4" xfId="1970" xr:uid="{8A9F8605-928E-4445-9D8D-0B4D68330097}"/>
    <cellStyle name="Normal 2 2 4 5" xfId="2919" xr:uid="{7019C365-BBA2-4076-A701-55CE28CE80F3}"/>
    <cellStyle name="Normal 2 2 4 6" xfId="2940" xr:uid="{1EDF99C0-0F22-4D6F-8F5E-B1D4629F0BA1}"/>
    <cellStyle name="Normal 2 2 5" xfId="1406" xr:uid="{00000000-0005-0000-0000-00007E050000}"/>
    <cellStyle name="Normal 2 2 5 2" xfId="1407" xr:uid="{00000000-0005-0000-0000-00007F050000}"/>
    <cellStyle name="Normal 2 3" xfId="1408" xr:uid="{00000000-0005-0000-0000-000080050000}"/>
    <cellStyle name="Normal 2 3 2" xfId="1409" xr:uid="{00000000-0005-0000-0000-000081050000}"/>
    <cellStyle name="Normal 2 3 2 2" xfId="1410" xr:uid="{00000000-0005-0000-0000-000082050000}"/>
    <cellStyle name="Normal 2 3 2 3" xfId="1971" xr:uid="{BDE7F875-7F08-42EC-BF09-0CDBDB5FBB4A}"/>
    <cellStyle name="Normal 2 3 3" xfId="1411" xr:uid="{00000000-0005-0000-0000-000083050000}"/>
    <cellStyle name="Normal 2 3 4" xfId="1412" xr:uid="{00000000-0005-0000-0000-000084050000}"/>
    <cellStyle name="Normal 2 3 5" xfId="1413" xr:uid="{00000000-0005-0000-0000-000085050000}"/>
    <cellStyle name="Normal 2 3 6" xfId="1414" xr:uid="{00000000-0005-0000-0000-000086050000}"/>
    <cellStyle name="Normal 2 4" xfId="1415" xr:uid="{00000000-0005-0000-0000-000087050000}"/>
    <cellStyle name="Normal 2 4 2" xfId="1416" xr:uid="{00000000-0005-0000-0000-000088050000}"/>
    <cellStyle name="Normal 2 4 2 2" xfId="1417" xr:uid="{00000000-0005-0000-0000-000089050000}"/>
    <cellStyle name="Normal 2 4 2 3" xfId="1972" xr:uid="{B18E3E8A-8CD2-4A83-BF58-C4305427EBD3}"/>
    <cellStyle name="Normal 2 4 3" xfId="1418" xr:uid="{00000000-0005-0000-0000-00008A050000}"/>
    <cellStyle name="Normal 2 4 4" xfId="1419" xr:uid="{00000000-0005-0000-0000-00008B050000}"/>
    <cellStyle name="Normal 2 4 4 2" xfId="2897" xr:uid="{2992E479-5BE1-45AA-9DA9-EC41B1176F80}"/>
    <cellStyle name="Normal 2 4 5" xfId="1420" xr:uid="{00000000-0005-0000-0000-00008C050000}"/>
    <cellStyle name="Normal 2 4 5 2" xfId="2885" xr:uid="{B7521BAA-93A2-4A7D-AF06-9E6F00C35C34}"/>
    <cellStyle name="Normal 2 4 6" xfId="1421" xr:uid="{00000000-0005-0000-0000-00008D050000}"/>
    <cellStyle name="Normal 2 4 7" xfId="2918" xr:uid="{6556CA41-2140-4E91-BC79-BAAD046BB5F8}"/>
    <cellStyle name="Normal 2 4 8" xfId="2939" xr:uid="{58B3FF9D-701A-4702-B4F5-67CB7D3DFA33}"/>
    <cellStyle name="Normal 2 5" xfId="1422" xr:uid="{00000000-0005-0000-0000-00008E050000}"/>
    <cellStyle name="Normal 2 5 2" xfId="1423" xr:uid="{00000000-0005-0000-0000-00008F050000}"/>
    <cellStyle name="Normal 2 6" xfId="1424" xr:uid="{00000000-0005-0000-0000-000090050000}"/>
    <cellStyle name="Normal 2 6 2" xfId="1973" xr:uid="{D8E6E881-2D41-4379-9659-28EDBC9F94B0}"/>
    <cellStyle name="Normal 2 6 3" xfId="2930" xr:uid="{15A37039-F7BE-431E-8FC3-28F3F5B38B80}"/>
    <cellStyle name="Normal 2 6 4" xfId="2952" xr:uid="{B33F0FF3-8A90-4AB0-A3A0-9CD7138C79B1}"/>
    <cellStyle name="Normal 2 6 5" xfId="1942" xr:uid="{31F75309-2F6B-463F-A43B-D516EECDF6B6}"/>
    <cellStyle name="Normal 2 7" xfId="1425" xr:uid="{00000000-0005-0000-0000-000091050000}"/>
    <cellStyle name="Normal 2 8" xfId="1426" xr:uid="{00000000-0005-0000-0000-000092050000}"/>
    <cellStyle name="Normal 2 8 2" xfId="1427" xr:uid="{00000000-0005-0000-0000-000093050000}"/>
    <cellStyle name="Normal 2 9" xfId="1428" xr:uid="{00000000-0005-0000-0000-000094050000}"/>
    <cellStyle name="Normal 2 9 2" xfId="1429" xr:uid="{00000000-0005-0000-0000-000095050000}"/>
    <cellStyle name="Normal 20" xfId="1430" xr:uid="{00000000-0005-0000-0000-000096050000}"/>
    <cellStyle name="Normal 20 2" xfId="1431" xr:uid="{00000000-0005-0000-0000-000097050000}"/>
    <cellStyle name="Normal 20 3" xfId="1432" xr:uid="{00000000-0005-0000-0000-000098050000}"/>
    <cellStyle name="Normal 20 4" xfId="1433" xr:uid="{00000000-0005-0000-0000-000099050000}"/>
    <cellStyle name="Normal 21" xfId="1434" xr:uid="{00000000-0005-0000-0000-00009A050000}"/>
    <cellStyle name="Normal 21 2" xfId="1435" xr:uid="{00000000-0005-0000-0000-00009B050000}"/>
    <cellStyle name="Normal 21 3" xfId="1436" xr:uid="{00000000-0005-0000-0000-00009C050000}"/>
    <cellStyle name="Normal 21 4" xfId="1437" xr:uid="{00000000-0005-0000-0000-00009D050000}"/>
    <cellStyle name="Normal 22" xfId="1438" xr:uid="{00000000-0005-0000-0000-00009E050000}"/>
    <cellStyle name="Normal 22 2" xfId="1439" xr:uid="{00000000-0005-0000-0000-00009F050000}"/>
    <cellStyle name="Normal 22 3" xfId="1440" xr:uid="{00000000-0005-0000-0000-0000A0050000}"/>
    <cellStyle name="Normal 22 4" xfId="1441" xr:uid="{00000000-0005-0000-0000-0000A1050000}"/>
    <cellStyle name="Normal 23" xfId="1442" xr:uid="{00000000-0005-0000-0000-0000A2050000}"/>
    <cellStyle name="Normal 23 2" xfId="1443" xr:uid="{00000000-0005-0000-0000-0000A3050000}"/>
    <cellStyle name="Normal 23 3" xfId="1444" xr:uid="{00000000-0005-0000-0000-0000A4050000}"/>
    <cellStyle name="Normal 23 4" xfId="1445" xr:uid="{00000000-0005-0000-0000-0000A5050000}"/>
    <cellStyle name="Normal 24" xfId="1446" xr:uid="{00000000-0005-0000-0000-0000A6050000}"/>
    <cellStyle name="Normal 24 2" xfId="1447" xr:uid="{00000000-0005-0000-0000-0000A7050000}"/>
    <cellStyle name="Normal 24 3" xfId="1448" xr:uid="{00000000-0005-0000-0000-0000A8050000}"/>
    <cellStyle name="Normal 24 4" xfId="1449" xr:uid="{00000000-0005-0000-0000-0000A9050000}"/>
    <cellStyle name="Normal 25" xfId="1450" xr:uid="{00000000-0005-0000-0000-0000AA050000}"/>
    <cellStyle name="Normal 25 2" xfId="1451" xr:uid="{00000000-0005-0000-0000-0000AB050000}"/>
    <cellStyle name="Normal 25 3" xfId="1452" xr:uid="{00000000-0005-0000-0000-0000AC050000}"/>
    <cellStyle name="Normal 25 4" xfId="1453" xr:uid="{00000000-0005-0000-0000-0000AD050000}"/>
    <cellStyle name="Normal 26" xfId="1454" xr:uid="{00000000-0005-0000-0000-0000AE050000}"/>
    <cellStyle name="Normal 26 2" xfId="1455" xr:uid="{00000000-0005-0000-0000-0000AF050000}"/>
    <cellStyle name="Normal 26 3" xfId="1456" xr:uid="{00000000-0005-0000-0000-0000B0050000}"/>
    <cellStyle name="Normal 26 4" xfId="1457" xr:uid="{00000000-0005-0000-0000-0000B1050000}"/>
    <cellStyle name="Normal 27" xfId="1458" xr:uid="{00000000-0005-0000-0000-0000B2050000}"/>
    <cellStyle name="Normal 27 2" xfId="1459" xr:uid="{00000000-0005-0000-0000-0000B3050000}"/>
    <cellStyle name="Normal 27 2 2" xfId="2764" xr:uid="{9C0DD874-3E39-44B8-AF1A-1683741D1BE8}"/>
    <cellStyle name="Normal 28" xfId="1460" xr:uid="{00000000-0005-0000-0000-0000B4050000}"/>
    <cellStyle name="Normal 28 2" xfId="1461" xr:uid="{00000000-0005-0000-0000-0000B5050000}"/>
    <cellStyle name="Normal 29" xfId="1462" xr:uid="{00000000-0005-0000-0000-0000B6050000}"/>
    <cellStyle name="Normal 29 2" xfId="1463" xr:uid="{00000000-0005-0000-0000-0000B7050000}"/>
    <cellStyle name="Normal 3" xfId="1464" xr:uid="{00000000-0005-0000-0000-0000B8050000}"/>
    <cellStyle name="Normal 3 10" xfId="1465" xr:uid="{00000000-0005-0000-0000-0000B9050000}"/>
    <cellStyle name="Normal 3 10 2" xfId="1466" xr:uid="{00000000-0005-0000-0000-0000BA050000}"/>
    <cellStyle name="Normal 3 10 2 2" xfId="2766" xr:uid="{AA096738-99FE-4FAC-8E6C-A212F4DE53F7}"/>
    <cellStyle name="Normal 3 10 3" xfId="2765" xr:uid="{A60FD903-0606-4EE5-A611-B6C54970D784}"/>
    <cellStyle name="Normal 3 11" xfId="1467" xr:uid="{00000000-0005-0000-0000-0000BB050000}"/>
    <cellStyle name="Normal 3 12" xfId="1468" xr:uid="{00000000-0005-0000-0000-0000BC050000}"/>
    <cellStyle name="Normal 3 13" xfId="1925" xr:uid="{453694A4-D4AE-4A32-9027-7E8CE55BE717}"/>
    <cellStyle name="Normal 3 13 2" xfId="2908" xr:uid="{ACAF4703-DA0B-4E40-BACA-20EABCDEF3B0}"/>
    <cellStyle name="Normal 3 14" xfId="2934" xr:uid="{43268A6D-68A4-4AB1-B881-B56902979EA9}"/>
    <cellStyle name="Normal 3 2" xfId="1469" xr:uid="{00000000-0005-0000-0000-0000BD050000}"/>
    <cellStyle name="Normal 3 2 2" xfId="1470" xr:uid="{00000000-0005-0000-0000-0000BE050000}"/>
    <cellStyle name="Normal 3 2 2 2" xfId="1471" xr:uid="{00000000-0005-0000-0000-0000BF050000}"/>
    <cellStyle name="Normal 3 2 3" xfId="1472" xr:uid="{00000000-0005-0000-0000-0000C0050000}"/>
    <cellStyle name="Normal 3 2 4" xfId="1473" xr:uid="{00000000-0005-0000-0000-0000C1050000}"/>
    <cellStyle name="Normal 3 2 5" xfId="1926" xr:uid="{07E5F0A5-773D-470D-9F70-7DAE6CA17C56}"/>
    <cellStyle name="Normal 3 2 5 2" xfId="1974" xr:uid="{08236995-A262-4ED0-A0D9-8C10A71AD1AC}"/>
    <cellStyle name="Normal 3 3" xfId="1474" xr:uid="{00000000-0005-0000-0000-0000C2050000}"/>
    <cellStyle name="Normal 3 3 2" xfId="1475" xr:uid="{00000000-0005-0000-0000-0000C3050000}"/>
    <cellStyle name="Normal 3 3 3" xfId="1476" xr:uid="{00000000-0005-0000-0000-0000C4050000}"/>
    <cellStyle name="Normal 3 3 4" xfId="1477" xr:uid="{00000000-0005-0000-0000-0000C5050000}"/>
    <cellStyle name="Normal 3 3 5" xfId="1918" xr:uid="{1212050B-A4B3-4FF1-8AA7-AD82E66C077C}"/>
    <cellStyle name="Normal 3 3 5 2" xfId="1975" xr:uid="{4D291574-9003-4EDD-91AC-104663F73AAE}"/>
    <cellStyle name="Normal 3 4" xfId="1478" xr:uid="{00000000-0005-0000-0000-0000C6050000}"/>
    <cellStyle name="Normal 3 4 2" xfId="1479" xr:uid="{00000000-0005-0000-0000-0000C7050000}"/>
    <cellStyle name="Normal 3 4 3" xfId="2928" xr:uid="{1737D2AB-CFAB-4B3D-BB74-F299318C1E5A}"/>
    <cellStyle name="Normal 3 4 4" xfId="2950" xr:uid="{7935432C-E0E0-4E06-B354-23D655FDC43B}"/>
    <cellStyle name="Normal 3 4 5" xfId="1941" xr:uid="{5AC2ABAB-E74B-41CA-A9A5-D6F2027994E4}"/>
    <cellStyle name="Normal 3 5" xfId="1480" xr:uid="{00000000-0005-0000-0000-0000C8050000}"/>
    <cellStyle name="Normal 3 5 2" xfId="1481" xr:uid="{00000000-0005-0000-0000-0000C9050000}"/>
    <cellStyle name="Normal 3 5 3" xfId="1939" xr:uid="{06886CCF-6AD9-4EB5-93B3-9F3BBEC46F16}"/>
    <cellStyle name="Normal 3 6" xfId="1482" xr:uid="{00000000-0005-0000-0000-0000CA050000}"/>
    <cellStyle name="Normal 3 6 2" xfId="1483" xr:uid="{00000000-0005-0000-0000-0000CB050000}"/>
    <cellStyle name="Normal 3 7" xfId="1484" xr:uid="{00000000-0005-0000-0000-0000CC050000}"/>
    <cellStyle name="Normal 3 8" xfId="1485" xr:uid="{00000000-0005-0000-0000-0000CD050000}"/>
    <cellStyle name="Normal 3 9" xfId="1486" xr:uid="{00000000-0005-0000-0000-0000CE050000}"/>
    <cellStyle name="Normal 3 9 2" xfId="1487" xr:uid="{00000000-0005-0000-0000-0000CF050000}"/>
    <cellStyle name="Normal 3 9 2 2" xfId="1488" xr:uid="{00000000-0005-0000-0000-0000D0050000}"/>
    <cellStyle name="Normal 30" xfId="1489" xr:uid="{00000000-0005-0000-0000-0000D1050000}"/>
    <cellStyle name="Normal 31" xfId="1490" xr:uid="{00000000-0005-0000-0000-0000D2050000}"/>
    <cellStyle name="Normal 32" xfId="1491" xr:uid="{00000000-0005-0000-0000-0000D3050000}"/>
    <cellStyle name="Normal 32 2" xfId="1492" xr:uid="{00000000-0005-0000-0000-0000D4050000}"/>
    <cellStyle name="Normal 32 2 2" xfId="1493" xr:uid="{00000000-0005-0000-0000-0000D5050000}"/>
    <cellStyle name="Normal 32 3" xfId="1494" xr:uid="{00000000-0005-0000-0000-0000D6050000}"/>
    <cellStyle name="Normal 33" xfId="1495" xr:uid="{00000000-0005-0000-0000-0000D7050000}"/>
    <cellStyle name="Normal 34" xfId="1496" xr:uid="{00000000-0005-0000-0000-0000D8050000}"/>
    <cellStyle name="Normal 35" xfId="1934" xr:uid="{5A4F2D33-80CF-4061-825B-4AADFBAF22DA}"/>
    <cellStyle name="Normal 35 2" xfId="2913" xr:uid="{7F724F5B-09D3-42AD-A76A-39AD16E70D8A}"/>
    <cellStyle name="Normal 36" xfId="1936" xr:uid="{CD50D08C-1569-4FBE-95A2-7A7ACAA52970}"/>
    <cellStyle name="Normal 36 2" xfId="2914" xr:uid="{6C616B1C-664C-4A1D-9F8D-57B75C281AEC}"/>
    <cellStyle name="Normal 4" xfId="1497" xr:uid="{00000000-0005-0000-0000-0000D9050000}"/>
    <cellStyle name="Normal 4 10" xfId="1498" xr:uid="{00000000-0005-0000-0000-0000DA050000}"/>
    <cellStyle name="Normal 4 11" xfId="1499" xr:uid="{00000000-0005-0000-0000-0000DB050000}"/>
    <cellStyle name="Normal 4 12" xfId="1927" xr:uid="{356F997F-2BB3-4554-A5D8-550329EAECBA}"/>
    <cellStyle name="Normal 4 12 2" xfId="1976" xr:uid="{6D6AF4E0-3793-4537-BF45-216EC57B973E}"/>
    <cellStyle name="Normal 4 13" xfId="2909" xr:uid="{B262C6FA-12A7-4359-8A5B-49F60F866A35}"/>
    <cellStyle name="Normal 4 14" xfId="2935" xr:uid="{E108A6C6-780F-4E32-8A04-A1F64AD9AB33}"/>
    <cellStyle name="Normal 4 2" xfId="1500" xr:uid="{00000000-0005-0000-0000-0000DC050000}"/>
    <cellStyle name="Normal 4 2 2" xfId="1501" xr:uid="{00000000-0005-0000-0000-0000DD050000}"/>
    <cellStyle name="Normal 4 2 2 2" xfId="1502" xr:uid="{00000000-0005-0000-0000-0000DE050000}"/>
    <cellStyle name="Normal 4 2 2 2 2" xfId="2899" xr:uid="{30CB5C67-FB05-4E74-88F0-2C58EF1550C5}"/>
    <cellStyle name="Normal 4 2 3" xfId="1503" xr:uid="{00000000-0005-0000-0000-0000DF050000}"/>
    <cellStyle name="Normal 4 2 4" xfId="1504" xr:uid="{00000000-0005-0000-0000-0000E0050000}"/>
    <cellStyle name="Normal 4 2 5" xfId="1505" xr:uid="{00000000-0005-0000-0000-0000E1050000}"/>
    <cellStyle name="Normal 4 2 5 2" xfId="2887" xr:uid="{8E3F4DD1-14E7-4B5F-9A6A-F2F220802053}"/>
    <cellStyle name="Normal 4 2 6" xfId="1977" xr:uid="{5458618A-69EB-4285-A55A-B0CFB8943823}"/>
    <cellStyle name="Normal 4 2 7" xfId="2920" xr:uid="{FCD91E89-CD54-49FA-B412-587A48B71CEE}"/>
    <cellStyle name="Normal 4 2 8" xfId="2941" xr:uid="{04922088-57FB-4C5B-868E-4348BF7CB0A6}"/>
    <cellStyle name="Normal 4 3" xfId="1506" xr:uid="{00000000-0005-0000-0000-0000E2050000}"/>
    <cellStyle name="Normal 4 3 2" xfId="1507" xr:uid="{00000000-0005-0000-0000-0000E3050000}"/>
    <cellStyle name="Normal 4 3 3" xfId="1508" xr:uid="{00000000-0005-0000-0000-0000E4050000}"/>
    <cellStyle name="Normal 4 3 4" xfId="1509" xr:uid="{00000000-0005-0000-0000-0000E5050000}"/>
    <cellStyle name="Normal 4 3 5" xfId="1978" xr:uid="{1443DC4A-D33B-4668-9851-58772F38D887}"/>
    <cellStyle name="Normal 4 3 6" xfId="1938" xr:uid="{53CAF54D-1148-4B3E-B96E-48A49CDAA38A}"/>
    <cellStyle name="Normal 4 4" xfId="1510" xr:uid="{00000000-0005-0000-0000-0000E6050000}"/>
    <cellStyle name="Normal 4 4 2" xfId="1511" xr:uid="{00000000-0005-0000-0000-0000E7050000}"/>
    <cellStyle name="Normal 4 5" xfId="1512" xr:uid="{00000000-0005-0000-0000-0000E8050000}"/>
    <cellStyle name="Normal 4 5 2" xfId="1513" xr:uid="{00000000-0005-0000-0000-0000E9050000}"/>
    <cellStyle name="Normal 4 6" xfId="1514" xr:uid="{00000000-0005-0000-0000-0000EA050000}"/>
    <cellStyle name="Normal 4 6 2" xfId="1515" xr:uid="{00000000-0005-0000-0000-0000EB050000}"/>
    <cellStyle name="Normal 4 7" xfId="1516" xr:uid="{00000000-0005-0000-0000-0000EC050000}"/>
    <cellStyle name="Normal 4 7 2" xfId="1517" xr:uid="{00000000-0005-0000-0000-0000ED050000}"/>
    <cellStyle name="Normal 4 7 2 2" xfId="1518" xr:uid="{00000000-0005-0000-0000-0000EE050000}"/>
    <cellStyle name="Normal 4 7 2 2 2" xfId="1519" xr:uid="{00000000-0005-0000-0000-0000EF050000}"/>
    <cellStyle name="Normal 4 7 2 2 2 2" xfId="2769" xr:uid="{943340B1-53E9-4BAD-8302-AA6073175F13}"/>
    <cellStyle name="Normal 4 7 2 2 3" xfId="2768" xr:uid="{42EEF9FB-7221-4F98-B8AC-A81C1AD44F90}"/>
    <cellStyle name="Normal 4 7 2 3" xfId="1520" xr:uid="{00000000-0005-0000-0000-0000F0050000}"/>
    <cellStyle name="Normal 4 7 2 3 2" xfId="2770" xr:uid="{A1094F90-9DE8-4A34-83CB-9B2C3CCD98CF}"/>
    <cellStyle name="Normal 4 7 2 4" xfId="2767" xr:uid="{F0086DB2-FD80-46A1-B85B-F678A87B326C}"/>
    <cellStyle name="Normal 4 8" xfId="1521" xr:uid="{00000000-0005-0000-0000-0000F1050000}"/>
    <cellStyle name="Normal 4 9" xfId="1522" xr:uid="{00000000-0005-0000-0000-0000F2050000}"/>
    <cellStyle name="Normal 5" xfId="1523" xr:uid="{00000000-0005-0000-0000-0000F3050000}"/>
    <cellStyle name="Normal 5 10" xfId="1524" xr:uid="{00000000-0005-0000-0000-0000F4050000}"/>
    <cellStyle name="Normal 5 11" xfId="1979" xr:uid="{82673BC8-E031-4F23-BD32-D55E2293EAEB}"/>
    <cellStyle name="Normal 5 2" xfId="1525" xr:uid="{00000000-0005-0000-0000-0000F5050000}"/>
    <cellStyle name="Normal 5 2 2" xfId="1526" xr:uid="{00000000-0005-0000-0000-0000F6050000}"/>
    <cellStyle name="Normal 5 2 2 2" xfId="1527" xr:uid="{00000000-0005-0000-0000-0000F7050000}"/>
    <cellStyle name="Normal 5 2 2 2 2" xfId="2900" xr:uid="{71996EEB-4E41-4385-B11C-3F3A8A745748}"/>
    <cellStyle name="Normal 5 2 2 3" xfId="1528" xr:uid="{00000000-0005-0000-0000-0000F8050000}"/>
    <cellStyle name="Normal 5 2 3" xfId="1529" xr:uid="{00000000-0005-0000-0000-0000F9050000}"/>
    <cellStyle name="Normal 5 2 4" xfId="1530" xr:uid="{00000000-0005-0000-0000-0000FA050000}"/>
    <cellStyle name="Normal 5 2 4 2" xfId="2888" xr:uid="{4EB8FD7B-1AC6-460A-AD76-ECC1F7E4FF28}"/>
    <cellStyle name="Normal 5 2 5" xfId="1980" xr:uid="{1A2211D4-4EF5-4C84-B9D1-DFA1CBAF6441}"/>
    <cellStyle name="Normal 5 2 6" xfId="2921" xr:uid="{2B51EF17-8189-4744-977A-42AF93CEA6FD}"/>
    <cellStyle name="Normal 5 2 7" xfId="2942" xr:uid="{DA1CC885-2C0D-4C8A-B5D2-E9020A79B957}"/>
    <cellStyle name="Normal 5 3" xfId="1531" xr:uid="{00000000-0005-0000-0000-0000FB050000}"/>
    <cellStyle name="Normal 5 3 2" xfId="1532" xr:uid="{00000000-0005-0000-0000-0000FC050000}"/>
    <cellStyle name="Normal 5 3 2 2" xfId="1533" xr:uid="{00000000-0005-0000-0000-0000FD050000}"/>
    <cellStyle name="Normal 5 3 3" xfId="1534" xr:uid="{00000000-0005-0000-0000-0000FE050000}"/>
    <cellStyle name="Normal 5 4" xfId="1535" xr:uid="{00000000-0005-0000-0000-0000FF050000}"/>
    <cellStyle name="Normal 5 4 2" xfId="1536" xr:uid="{00000000-0005-0000-0000-000000060000}"/>
    <cellStyle name="Normal 5 5" xfId="1537" xr:uid="{00000000-0005-0000-0000-000001060000}"/>
    <cellStyle name="Normal 5 5 2" xfId="1538" xr:uid="{00000000-0005-0000-0000-000002060000}"/>
    <cellStyle name="Normal 5 6" xfId="1539" xr:uid="{00000000-0005-0000-0000-000003060000}"/>
    <cellStyle name="Normal 5 6 2" xfId="1540" xr:uid="{00000000-0005-0000-0000-000004060000}"/>
    <cellStyle name="Normal 5 7" xfId="1541" xr:uid="{00000000-0005-0000-0000-000005060000}"/>
    <cellStyle name="Normal 5 8" xfId="1542" xr:uid="{00000000-0005-0000-0000-000006060000}"/>
    <cellStyle name="Normal 5 9" xfId="1543" xr:uid="{00000000-0005-0000-0000-000007060000}"/>
    <cellStyle name="Normal 6" xfId="1544" xr:uid="{00000000-0005-0000-0000-000008060000}"/>
    <cellStyle name="Normal 6 10" xfId="1545" xr:uid="{00000000-0005-0000-0000-000009060000}"/>
    <cellStyle name="Normal 6 11" xfId="1546" xr:uid="{00000000-0005-0000-0000-00000A060000}"/>
    <cellStyle name="Normal 6 11 2" xfId="2772" xr:uid="{372B8565-54A3-4E57-81E2-ACC2C32371B7}"/>
    <cellStyle name="Normal 6 12" xfId="1547" xr:uid="{00000000-0005-0000-0000-00000B060000}"/>
    <cellStyle name="Normal 6 12 2" xfId="2773" xr:uid="{848E1659-2B0D-459B-8FA4-AC7FE89A24DA}"/>
    <cellStyle name="Normal 6 13" xfId="1981" xr:uid="{E2EC33A5-5619-44AC-B0D5-F2036F898952}"/>
    <cellStyle name="Normal 6 14" xfId="2771" xr:uid="{0BC2D487-2839-4DA9-B53A-7D710A51EDB3}"/>
    <cellStyle name="Normal 6 15" xfId="2911" xr:uid="{156A9B22-7B06-47CA-BA4C-87EC98453AD6}"/>
    <cellStyle name="Normal 6 16" xfId="2937" xr:uid="{04B7806C-34DD-4C57-90C3-A920CA7798FE}"/>
    <cellStyle name="Normal 6 2" xfId="1548" xr:uid="{00000000-0005-0000-0000-00000C060000}"/>
    <cellStyle name="Normal 6 2 10" xfId="1549" xr:uid="{00000000-0005-0000-0000-00000D060000}"/>
    <cellStyle name="Normal 6 2 10 2" xfId="2775" xr:uid="{E53C4262-DC36-4979-B376-8C1BAB498423}"/>
    <cellStyle name="Normal 6 2 11" xfId="1550" xr:uid="{00000000-0005-0000-0000-00000E060000}"/>
    <cellStyle name="Normal 6 2 12" xfId="1982" xr:uid="{3159F3F8-4300-4588-BAAB-29236FEEA27A}"/>
    <cellStyle name="Normal 6 2 13" xfId="2774" xr:uid="{1D102E12-5F32-4536-9750-5A3ABA651A05}"/>
    <cellStyle name="Normal 6 2 2" xfId="1551" xr:uid="{00000000-0005-0000-0000-00000F060000}"/>
    <cellStyle name="Normal 6 2 2 2" xfId="1552" xr:uid="{00000000-0005-0000-0000-000010060000}"/>
    <cellStyle name="Normal 6 2 3" xfId="1553" xr:uid="{00000000-0005-0000-0000-000011060000}"/>
    <cellStyle name="Normal 6 2 3 2" xfId="1554" xr:uid="{00000000-0005-0000-0000-000012060000}"/>
    <cellStyle name="Normal 6 2 4" xfId="1555" xr:uid="{00000000-0005-0000-0000-000013060000}"/>
    <cellStyle name="Normal 6 2 4 2" xfId="1556" xr:uid="{00000000-0005-0000-0000-000014060000}"/>
    <cellStyle name="Normal 6 2 4 2 2" xfId="1557" xr:uid="{00000000-0005-0000-0000-000015060000}"/>
    <cellStyle name="Normal 6 2 4 2 2 2" xfId="1558" xr:uid="{00000000-0005-0000-0000-000016060000}"/>
    <cellStyle name="Normal 6 2 4 2 2 2 2" xfId="2779" xr:uid="{948C7230-0818-4F69-B32D-938858DE1BB2}"/>
    <cellStyle name="Normal 6 2 4 2 2 3" xfId="2778" xr:uid="{9FB7BE73-6E2D-44C7-92A9-A09BEB6DED37}"/>
    <cellStyle name="Normal 6 2 4 2 3" xfId="1559" xr:uid="{00000000-0005-0000-0000-000017060000}"/>
    <cellStyle name="Normal 6 2 4 2 3 2" xfId="2780" xr:uid="{2CE3B281-3B13-45A9-8B24-6239BDBE624C}"/>
    <cellStyle name="Normal 6 2 4 2 4" xfId="2777" xr:uid="{BC3C605F-8F7F-43B2-BC67-3B79A0BB7DD2}"/>
    <cellStyle name="Normal 6 2 4 3" xfId="1560" xr:uid="{00000000-0005-0000-0000-000018060000}"/>
    <cellStyle name="Normal 6 2 4 3 2" xfId="1561" xr:uid="{00000000-0005-0000-0000-000019060000}"/>
    <cellStyle name="Normal 6 2 4 3 2 2" xfId="2782" xr:uid="{FF67370F-B7B9-4491-928D-6823DBA4E58E}"/>
    <cellStyle name="Normal 6 2 4 3 3" xfId="2781" xr:uid="{B3D45223-0348-4518-AEB4-709543EAFE48}"/>
    <cellStyle name="Normal 6 2 4 4" xfId="1562" xr:uid="{00000000-0005-0000-0000-00001A060000}"/>
    <cellStyle name="Normal 6 2 4 4 2" xfId="1563" xr:uid="{00000000-0005-0000-0000-00001B060000}"/>
    <cellStyle name="Normal 6 2 4 4 2 2" xfId="2784" xr:uid="{0DB69A52-67C4-4FDD-BFFB-C52D4B83CEA4}"/>
    <cellStyle name="Normal 6 2 4 4 3" xfId="2783" xr:uid="{E25DC5AB-33A6-4EEF-9E99-3801F00E1D37}"/>
    <cellStyle name="Normal 6 2 4 5" xfId="1564" xr:uid="{00000000-0005-0000-0000-00001C060000}"/>
    <cellStyle name="Normal 6 2 4 5 2" xfId="2785" xr:uid="{29BC1EB9-11D1-476A-94DE-759C97B0EFDF}"/>
    <cellStyle name="Normal 6 2 4 6" xfId="2776" xr:uid="{D47FF928-AB77-4B84-8251-06274C5A1595}"/>
    <cellStyle name="Normal 6 2 5" xfId="1565" xr:uid="{00000000-0005-0000-0000-00001D060000}"/>
    <cellStyle name="Normal 6 2 5 2" xfId="1566" xr:uid="{00000000-0005-0000-0000-00001E060000}"/>
    <cellStyle name="Normal 6 2 5 2 2" xfId="1567" xr:uid="{00000000-0005-0000-0000-00001F060000}"/>
    <cellStyle name="Normal 6 2 5 2 2 2" xfId="1568" xr:uid="{00000000-0005-0000-0000-000020060000}"/>
    <cellStyle name="Normal 6 2 5 2 2 2 2" xfId="2789" xr:uid="{DF8A12F3-FC1F-43B0-BD75-B53C2511AF87}"/>
    <cellStyle name="Normal 6 2 5 2 2 3" xfId="2788" xr:uid="{FE4D7532-8E9E-41F8-9FE2-106FD7D19B80}"/>
    <cellStyle name="Normal 6 2 5 2 3" xfId="1569" xr:uid="{00000000-0005-0000-0000-000021060000}"/>
    <cellStyle name="Normal 6 2 5 2 3 2" xfId="2790" xr:uid="{87A3D152-F84D-4CC5-8CA4-2B0136359CC8}"/>
    <cellStyle name="Normal 6 2 5 2 4" xfId="2787" xr:uid="{D5660198-A683-47BB-8CFB-C5A1B3176462}"/>
    <cellStyle name="Normal 6 2 5 3" xfId="1570" xr:uid="{00000000-0005-0000-0000-000022060000}"/>
    <cellStyle name="Normal 6 2 5 3 2" xfId="1571" xr:uid="{00000000-0005-0000-0000-000023060000}"/>
    <cellStyle name="Normal 6 2 5 3 2 2" xfId="2792" xr:uid="{0F1FF9D3-48DC-4D98-A596-EC3CFDFCA95F}"/>
    <cellStyle name="Normal 6 2 5 3 3" xfId="2791" xr:uid="{08F4CB9F-637D-4B83-8825-8299FE1916F8}"/>
    <cellStyle name="Normal 6 2 5 4" xfId="1572" xr:uid="{00000000-0005-0000-0000-000024060000}"/>
    <cellStyle name="Normal 6 2 5 4 2" xfId="1573" xr:uid="{00000000-0005-0000-0000-000025060000}"/>
    <cellStyle name="Normal 6 2 5 4 2 2" xfId="2794" xr:uid="{F969C6F0-C963-401A-8BB3-C068C787B4FA}"/>
    <cellStyle name="Normal 6 2 5 4 3" xfId="2793" xr:uid="{2C06E84C-F9B8-4CA2-B108-470109D20AEC}"/>
    <cellStyle name="Normal 6 2 5 5" xfId="1574" xr:uid="{00000000-0005-0000-0000-000026060000}"/>
    <cellStyle name="Normal 6 2 5 5 2" xfId="2795" xr:uid="{AF85E117-38CE-4F12-A41E-9C7F911E0EBA}"/>
    <cellStyle name="Normal 6 2 5 6" xfId="2786" xr:uid="{7678FFA4-162F-4124-A8F6-40E0EF4DC9E3}"/>
    <cellStyle name="Normal 6 2 6" xfId="1575" xr:uid="{00000000-0005-0000-0000-000027060000}"/>
    <cellStyle name="Normal 6 2 6 2" xfId="1576" xr:uid="{00000000-0005-0000-0000-000028060000}"/>
    <cellStyle name="Normal 6 2 6 2 2" xfId="1577" xr:uid="{00000000-0005-0000-0000-000029060000}"/>
    <cellStyle name="Normal 6 2 6 2 2 2" xfId="2798" xr:uid="{D706C23B-1AC8-4E53-B6C8-1BA64472DB2D}"/>
    <cellStyle name="Normal 6 2 6 2 3" xfId="2797" xr:uid="{8C33DA84-FB67-4946-8E8C-E0E7494A0508}"/>
    <cellStyle name="Normal 6 2 6 3" xfId="1578" xr:uid="{00000000-0005-0000-0000-00002A060000}"/>
    <cellStyle name="Normal 6 2 6 3 2" xfId="1579" xr:uid="{00000000-0005-0000-0000-00002B060000}"/>
    <cellStyle name="Normal 6 2 6 3 2 2" xfId="2800" xr:uid="{8E970746-1841-483A-A2FF-9751D552C6F2}"/>
    <cellStyle name="Normal 6 2 6 3 3" xfId="2799" xr:uid="{F81E8026-9EA3-43E1-912F-25E512EF8E33}"/>
    <cellStyle name="Normal 6 2 6 4" xfId="1580" xr:uid="{00000000-0005-0000-0000-00002C060000}"/>
    <cellStyle name="Normal 6 2 6 4 2" xfId="2801" xr:uid="{C659E6C7-CE8D-40D9-BBE2-07F7D0C36D21}"/>
    <cellStyle name="Normal 6 2 6 5" xfId="2796" xr:uid="{48A87DD3-340E-4271-9591-EB6F1559439B}"/>
    <cellStyle name="Normal 6 2 7" xfId="1581" xr:uid="{00000000-0005-0000-0000-00002D060000}"/>
    <cellStyle name="Normal 6 2 7 2" xfId="1582" xr:uid="{00000000-0005-0000-0000-00002E060000}"/>
    <cellStyle name="Normal 6 2 8" xfId="1583" xr:uid="{00000000-0005-0000-0000-00002F060000}"/>
    <cellStyle name="Normal 6 2 9" xfId="1584" xr:uid="{00000000-0005-0000-0000-000030060000}"/>
    <cellStyle name="Normal 6 2 9 2" xfId="2802" xr:uid="{1E237ED0-17DE-4308-89F0-DF1A1D2B1D9F}"/>
    <cellStyle name="Normal 6 3" xfId="1585" xr:uid="{00000000-0005-0000-0000-000031060000}"/>
    <cellStyle name="Normal 6 3 2" xfId="1586" xr:uid="{00000000-0005-0000-0000-000032060000}"/>
    <cellStyle name="Normal 6 3 2 2" xfId="1587" xr:uid="{00000000-0005-0000-0000-000033060000}"/>
    <cellStyle name="Normal 6 3 2 2 2" xfId="1588" xr:uid="{00000000-0005-0000-0000-000034060000}"/>
    <cellStyle name="Normal 6 3 2 2 2 2" xfId="1589" xr:uid="{00000000-0005-0000-0000-000035060000}"/>
    <cellStyle name="Normal 6 3 2 2 2 2 2" xfId="2806" xr:uid="{59975E3C-B56E-483C-A6DA-3666225BA0D2}"/>
    <cellStyle name="Normal 6 3 2 2 2 3" xfId="2805" xr:uid="{42417EE2-4405-4D87-98A1-46D2EF6EB597}"/>
    <cellStyle name="Normal 6 3 2 2 3" xfId="1590" xr:uid="{00000000-0005-0000-0000-000036060000}"/>
    <cellStyle name="Normal 6 3 2 2 3 2" xfId="2807" xr:uid="{3CC88D84-121C-4519-9D5E-308DF0B1A237}"/>
    <cellStyle name="Normal 6 3 2 2 4" xfId="2804" xr:uid="{3E4DAAA2-7C27-462A-8F89-2CE66D3C7E9F}"/>
    <cellStyle name="Normal 6 3 2 3" xfId="1591" xr:uid="{00000000-0005-0000-0000-000037060000}"/>
    <cellStyle name="Normal 6 3 2 3 2" xfId="1592" xr:uid="{00000000-0005-0000-0000-000038060000}"/>
    <cellStyle name="Normal 6 3 2 3 2 2" xfId="2809" xr:uid="{B63FDF96-80CB-4CAB-8E01-2FC0C2B36F43}"/>
    <cellStyle name="Normal 6 3 2 3 3" xfId="2808" xr:uid="{7612F6E3-7961-4ADA-9431-E0C978A18F68}"/>
    <cellStyle name="Normal 6 3 2 4" xfId="1593" xr:uid="{00000000-0005-0000-0000-000039060000}"/>
    <cellStyle name="Normal 6 3 2 4 2" xfId="1594" xr:uid="{00000000-0005-0000-0000-00003A060000}"/>
    <cellStyle name="Normal 6 3 2 4 2 2" xfId="2811" xr:uid="{40002198-20D5-45C0-9A9E-A2CB0E698F28}"/>
    <cellStyle name="Normal 6 3 2 4 3" xfId="2810" xr:uid="{733C2392-F066-441A-8463-ACBC037B333C}"/>
    <cellStyle name="Normal 6 3 2 5" xfId="1595" xr:uid="{00000000-0005-0000-0000-00003B060000}"/>
    <cellStyle name="Normal 6 3 2 5 2" xfId="2812" xr:uid="{36B29881-5C17-4A1A-98A4-0E05AAA93C44}"/>
    <cellStyle name="Normal 6 3 2 6" xfId="2803" xr:uid="{D9B7F3A4-57BD-4806-937E-8D7160B14CFA}"/>
    <cellStyle name="Normal 6 3 3" xfId="1596" xr:uid="{00000000-0005-0000-0000-00003C060000}"/>
    <cellStyle name="Normal 6 3 3 2" xfId="1597" xr:uid="{00000000-0005-0000-0000-00003D060000}"/>
    <cellStyle name="Normal 6 3 3 2 2" xfId="1598" xr:uid="{00000000-0005-0000-0000-00003E060000}"/>
    <cellStyle name="Normal 6 3 3 2 2 2" xfId="2815" xr:uid="{94F700BA-307A-4E26-B57A-BD53820F3492}"/>
    <cellStyle name="Normal 6 3 3 2 3" xfId="2814" xr:uid="{B94F2D64-AAF9-42B9-BD4D-58D4E72D2C03}"/>
    <cellStyle name="Normal 6 3 3 3" xfId="1599" xr:uid="{00000000-0005-0000-0000-00003F060000}"/>
    <cellStyle name="Normal 6 3 3 3 2" xfId="1600" xr:uid="{00000000-0005-0000-0000-000040060000}"/>
    <cellStyle name="Normal 6 3 3 3 2 2" xfId="2817" xr:uid="{CD758730-44CB-4986-8D1D-172D276B84A8}"/>
    <cellStyle name="Normal 6 3 3 3 3" xfId="2816" xr:uid="{7A716CC3-D687-46F9-B8A5-E1A7B3CE6A9D}"/>
    <cellStyle name="Normal 6 3 3 4" xfId="1601" xr:uid="{00000000-0005-0000-0000-000041060000}"/>
    <cellStyle name="Normal 6 3 3 4 2" xfId="2818" xr:uid="{862A20AD-7F50-47C7-B814-F9B54DD4289B}"/>
    <cellStyle name="Normal 6 3 3 5" xfId="2813" xr:uid="{0CA47580-490B-456D-929C-5CFF3477EE9C}"/>
    <cellStyle name="Normal 6 3 4" xfId="1602" xr:uid="{00000000-0005-0000-0000-000042060000}"/>
    <cellStyle name="Normal 6 4" xfId="1603" xr:uid="{00000000-0005-0000-0000-000043060000}"/>
    <cellStyle name="Normal 6 4 2" xfId="1604" xr:uid="{00000000-0005-0000-0000-000044060000}"/>
    <cellStyle name="Normal 6 4 2 2" xfId="2896" xr:uid="{BAE86417-8A4C-4859-B245-AF80606E41B8}"/>
    <cellStyle name="Normal 6 4 3" xfId="1605" xr:uid="{00000000-0005-0000-0000-000045060000}"/>
    <cellStyle name="Normal 6 5" xfId="1606" xr:uid="{00000000-0005-0000-0000-000046060000}"/>
    <cellStyle name="Normal 6 5 2" xfId="1607" xr:uid="{00000000-0005-0000-0000-000047060000}"/>
    <cellStyle name="Normal 6 6" xfId="1608" xr:uid="{00000000-0005-0000-0000-000048060000}"/>
    <cellStyle name="Normal 6 6 2" xfId="1609" xr:uid="{00000000-0005-0000-0000-000049060000}"/>
    <cellStyle name="Normal 6 6 2 2" xfId="1610" xr:uid="{00000000-0005-0000-0000-00004A060000}"/>
    <cellStyle name="Normal 6 6 2 2 2" xfId="1611" xr:uid="{00000000-0005-0000-0000-00004B060000}"/>
    <cellStyle name="Normal 6 6 2 2 2 2" xfId="2822" xr:uid="{B31C03C0-77FF-428B-BC3A-1595302A34F1}"/>
    <cellStyle name="Normal 6 6 2 2 3" xfId="2821" xr:uid="{ECCCEC5F-2E53-4B68-A263-76AF5134542D}"/>
    <cellStyle name="Normal 6 6 2 3" xfId="1612" xr:uid="{00000000-0005-0000-0000-00004C060000}"/>
    <cellStyle name="Normal 6 6 2 3 2" xfId="2823" xr:uid="{5A066DED-0838-402B-ACB6-DE6B38E51B91}"/>
    <cellStyle name="Normal 6 6 2 4" xfId="2820" xr:uid="{5788F868-8BC9-4AEA-B881-BC8FC4B46BBE}"/>
    <cellStyle name="Normal 6 6 3" xfId="1613" xr:uid="{00000000-0005-0000-0000-00004D060000}"/>
    <cellStyle name="Normal 6 6 3 2" xfId="1614" xr:uid="{00000000-0005-0000-0000-00004E060000}"/>
    <cellStyle name="Normal 6 6 3 2 2" xfId="1615" xr:uid="{00000000-0005-0000-0000-00004F060000}"/>
    <cellStyle name="Normal 6 6 3 2 2 2" xfId="2826" xr:uid="{64562293-6050-4E6E-88FA-980B140C9B72}"/>
    <cellStyle name="Normal 6 6 3 2 3" xfId="2825" xr:uid="{74B53331-002C-402C-86C8-DED69D9A85EF}"/>
    <cellStyle name="Normal 6 6 3 3" xfId="1616" xr:uid="{00000000-0005-0000-0000-000050060000}"/>
    <cellStyle name="Normal 6 6 3 3 2" xfId="2827" xr:uid="{9543E433-5AF2-4FFB-8408-0B768C4E2E46}"/>
    <cellStyle name="Normal 6 6 3 4" xfId="2824" xr:uid="{23CAD0F1-69C3-4F47-BF15-6C0B423658A1}"/>
    <cellStyle name="Normal 6 6 4" xfId="1617" xr:uid="{00000000-0005-0000-0000-000051060000}"/>
    <cellStyle name="Normal 6 6 4 2" xfId="1618" xr:uid="{00000000-0005-0000-0000-000052060000}"/>
    <cellStyle name="Normal 6 6 4 2 2" xfId="2829" xr:uid="{F0BA100A-F227-470C-B64C-1BA414174D86}"/>
    <cellStyle name="Normal 6 6 4 3" xfId="2828" xr:uid="{E4F709D0-F77B-49ED-BF01-217ACE6A1FFE}"/>
    <cellStyle name="Normal 6 6 5" xfId="1619" xr:uid="{00000000-0005-0000-0000-000053060000}"/>
    <cellStyle name="Normal 6 6 5 2" xfId="1620" xr:uid="{00000000-0005-0000-0000-000054060000}"/>
    <cellStyle name="Normal 6 6 5 2 2" xfId="2831" xr:uid="{3F7B5865-F343-41A5-920D-F91AD2F2E146}"/>
    <cellStyle name="Normal 6 6 5 3" xfId="2830" xr:uid="{BF7867D7-4077-48F5-B29C-6B79738E1C0C}"/>
    <cellStyle name="Normal 6 6 6" xfId="1621" xr:uid="{00000000-0005-0000-0000-000055060000}"/>
    <cellStyle name="Normal 6 6 6 2" xfId="2832" xr:uid="{47A8BD91-7590-49F0-A9E6-ABB356BD3E8F}"/>
    <cellStyle name="Normal 6 6 7" xfId="2819" xr:uid="{9AE81B24-FC68-45CF-8B4A-577CEB06EBF5}"/>
    <cellStyle name="Normal 6 7" xfId="1622" xr:uid="{00000000-0005-0000-0000-000056060000}"/>
    <cellStyle name="Normal 6 7 2" xfId="1623" xr:uid="{00000000-0005-0000-0000-000057060000}"/>
    <cellStyle name="Normal 6 7 2 2" xfId="1624" xr:uid="{00000000-0005-0000-0000-000058060000}"/>
    <cellStyle name="Normal 6 7 2 2 2" xfId="1625" xr:uid="{00000000-0005-0000-0000-000059060000}"/>
    <cellStyle name="Normal 6 7 2 2 2 2" xfId="2836" xr:uid="{21566EE3-A097-413C-82E2-9202FC246952}"/>
    <cellStyle name="Normal 6 7 2 2 3" xfId="2835" xr:uid="{C9202CE3-1E4C-4512-8066-4302CE0E3893}"/>
    <cellStyle name="Normal 6 7 2 3" xfId="1626" xr:uid="{00000000-0005-0000-0000-00005A060000}"/>
    <cellStyle name="Normal 6 7 2 3 2" xfId="2837" xr:uid="{112A6817-CE8C-4C1A-B5F4-612F4A2759AB}"/>
    <cellStyle name="Normal 6 7 2 4" xfId="2834" xr:uid="{7CCB03A0-856D-4565-AD34-3A3CF0801172}"/>
    <cellStyle name="Normal 6 7 3" xfId="1627" xr:uid="{00000000-0005-0000-0000-00005B060000}"/>
    <cellStyle name="Normal 6 7 3 2" xfId="1628" xr:uid="{00000000-0005-0000-0000-00005C060000}"/>
    <cellStyle name="Normal 6 7 3 2 2" xfId="2839" xr:uid="{363FE647-ECCB-440A-9A4B-3AB3E39E9CA2}"/>
    <cellStyle name="Normal 6 7 3 3" xfId="2838" xr:uid="{C65869D1-DDDE-4890-9F29-F67FB362B744}"/>
    <cellStyle name="Normal 6 7 4" xfId="1629" xr:uid="{00000000-0005-0000-0000-00005D060000}"/>
    <cellStyle name="Normal 6 7 4 2" xfId="1630" xr:uid="{00000000-0005-0000-0000-00005E060000}"/>
    <cellStyle name="Normal 6 7 4 2 2" xfId="2841" xr:uid="{39246F7B-9B03-46C0-813D-7665B59AAD0C}"/>
    <cellStyle name="Normal 6 7 4 3" xfId="2840" xr:uid="{6043DAC1-08B7-4C96-B4CC-3E7B5760E2FA}"/>
    <cellStyle name="Normal 6 7 5" xfId="1631" xr:uid="{00000000-0005-0000-0000-00005F060000}"/>
    <cellStyle name="Normal 6 7 5 2" xfId="2842" xr:uid="{5614DAFD-4F9B-457E-A304-3AD358FEFE5F}"/>
    <cellStyle name="Normal 6 7 6" xfId="2833" xr:uid="{D2AFC8AA-6E3D-4967-8208-F2E529162B04}"/>
    <cellStyle name="Normal 6 8" xfId="1632" xr:uid="{00000000-0005-0000-0000-000060060000}"/>
    <cellStyle name="Normal 6 8 2" xfId="1633" xr:uid="{00000000-0005-0000-0000-000061060000}"/>
    <cellStyle name="Normal 6 8 2 2" xfId="1634" xr:uid="{00000000-0005-0000-0000-000062060000}"/>
    <cellStyle name="Normal 6 8 2 2 2" xfId="2845" xr:uid="{31518301-1FA4-4BE7-B2AE-AB21D7E25655}"/>
    <cellStyle name="Normal 6 8 2 3" xfId="2844" xr:uid="{C148469B-6208-493A-9A4E-D5048D64C7F5}"/>
    <cellStyle name="Normal 6 8 3" xfId="1635" xr:uid="{00000000-0005-0000-0000-000063060000}"/>
    <cellStyle name="Normal 6 8 3 2" xfId="1636" xr:uid="{00000000-0005-0000-0000-000064060000}"/>
    <cellStyle name="Normal 6 8 3 2 2" xfId="2847" xr:uid="{4B15D188-02D6-4169-812D-958A1D838455}"/>
    <cellStyle name="Normal 6 8 3 3" xfId="2846" xr:uid="{5D1C0195-EA36-488D-BAC1-E9D1FA8C37BB}"/>
    <cellStyle name="Normal 6 8 4" xfId="1637" xr:uid="{00000000-0005-0000-0000-000065060000}"/>
    <cellStyle name="Normal 6 8 4 2" xfId="2848" xr:uid="{3F90B444-0C7B-4823-AC0E-23EBDAA2BADB}"/>
    <cellStyle name="Normal 6 8 5" xfId="2843" xr:uid="{C2323D53-F9AA-409C-B128-F407C7409132}"/>
    <cellStyle name="Normal 6 9" xfId="1638" xr:uid="{00000000-0005-0000-0000-000066060000}"/>
    <cellStyle name="Normal 7" xfId="1639" xr:uid="{00000000-0005-0000-0000-000067060000}"/>
    <cellStyle name="Normal 7 2" xfId="1640" xr:uid="{00000000-0005-0000-0000-000068060000}"/>
    <cellStyle name="Normal 7 2 2" xfId="1641" xr:uid="{00000000-0005-0000-0000-000069060000}"/>
    <cellStyle name="Normal 7 2 2 2" xfId="1642" xr:uid="{00000000-0005-0000-0000-00006A060000}"/>
    <cellStyle name="Normal 7 2 2 2 2" xfId="2901" xr:uid="{DD0BCCC7-575A-450B-9A49-51EE9A24A4CF}"/>
    <cellStyle name="Normal 7 2 3" xfId="1643" xr:uid="{00000000-0005-0000-0000-00006B060000}"/>
    <cellStyle name="Normal 7 2 3 2" xfId="2889" xr:uid="{E03902CC-76B9-48AD-A63A-E00568F8C402}"/>
    <cellStyle name="Normal 7 2 4" xfId="1984" xr:uid="{3FF84EAF-4867-4BD7-9BE6-D8D5C73F800E}"/>
    <cellStyle name="Normal 7 2 5" xfId="2922" xr:uid="{EB95464F-3435-4BF9-9C9B-FFC128FBEDD0}"/>
    <cellStyle name="Normal 7 2 6" xfId="2943" xr:uid="{C7349A81-99E3-42F4-825E-F40280D79712}"/>
    <cellStyle name="Normal 7 3" xfId="1644" xr:uid="{00000000-0005-0000-0000-00006C060000}"/>
    <cellStyle name="Normal 7 3 2" xfId="1645" xr:uid="{00000000-0005-0000-0000-00006D060000}"/>
    <cellStyle name="Normal 7 3 3" xfId="1646" xr:uid="{00000000-0005-0000-0000-00006E060000}"/>
    <cellStyle name="Normal 7 4" xfId="1647" xr:uid="{00000000-0005-0000-0000-00006F060000}"/>
    <cellStyle name="Normal 7 5" xfId="1648" xr:uid="{00000000-0005-0000-0000-000070060000}"/>
    <cellStyle name="Normal 7 6" xfId="1649" xr:uid="{00000000-0005-0000-0000-000071060000}"/>
    <cellStyle name="Normal 7 6 2" xfId="1650" xr:uid="{00000000-0005-0000-0000-000072060000}"/>
    <cellStyle name="Normal 7 7" xfId="1651" xr:uid="{00000000-0005-0000-0000-000073060000}"/>
    <cellStyle name="Normal 7 8" xfId="1652" xr:uid="{00000000-0005-0000-0000-000074060000}"/>
    <cellStyle name="Normal 7 8 2" xfId="2881" xr:uid="{004477C0-9668-4448-8527-CB5A6CDBEC1F}"/>
    <cellStyle name="Normal 7 9" xfId="1983" xr:uid="{A398B9C0-476C-4D54-B6CD-50961CD28AB9}"/>
    <cellStyle name="Normal 8" xfId="1653" xr:uid="{00000000-0005-0000-0000-000075060000}"/>
    <cellStyle name="Normal 8 2" xfId="1654" xr:uid="{00000000-0005-0000-0000-000076060000}"/>
    <cellStyle name="Normal 8 2 2" xfId="1655" xr:uid="{00000000-0005-0000-0000-000077060000}"/>
    <cellStyle name="Normal 8 2 3" xfId="1656" xr:uid="{00000000-0005-0000-0000-000078060000}"/>
    <cellStyle name="Normal 8 2 3 2" xfId="2891" xr:uid="{C2950309-E3F3-486D-8F57-B0ED2CD2F2DF}"/>
    <cellStyle name="Normal 8 3" xfId="1657" xr:uid="{00000000-0005-0000-0000-000079060000}"/>
    <cellStyle name="Normal 8 3 2" xfId="1658" xr:uid="{00000000-0005-0000-0000-00007A060000}"/>
    <cellStyle name="Normal 8 3 3" xfId="1659" xr:uid="{00000000-0005-0000-0000-00007B060000}"/>
    <cellStyle name="Normal 8 3 3 2" xfId="2903" xr:uid="{35A187FF-2BB9-48C2-9DA2-6FD72B17093B}"/>
    <cellStyle name="Normal 8 4" xfId="1660" xr:uid="{00000000-0005-0000-0000-00007C060000}"/>
    <cellStyle name="Normal 8 5" xfId="1661" xr:uid="{00000000-0005-0000-0000-00007D060000}"/>
    <cellStyle name="Normal 8 5 2" xfId="2882" xr:uid="{431EC828-3EF1-439F-98F2-7AF5FC351129}"/>
    <cellStyle name="Normal 8 6" xfId="1985" xr:uid="{4139FE1F-635C-4ABE-845B-654732245419}"/>
    <cellStyle name="Normal 8 7" xfId="2924" xr:uid="{A2DADADF-05F7-4657-A950-2F560DEEAD15}"/>
    <cellStyle name="Normal 8 8" xfId="2945" xr:uid="{7CD1C309-B045-4548-8D7D-E7E319D3B7C3}"/>
    <cellStyle name="Normal 9" xfId="1662" xr:uid="{00000000-0005-0000-0000-00007E060000}"/>
    <cellStyle name="Normal 9 2" xfId="1663" xr:uid="{00000000-0005-0000-0000-00007F060000}"/>
    <cellStyle name="Normal 9 2 2" xfId="1664" xr:uid="{00000000-0005-0000-0000-000080060000}"/>
    <cellStyle name="Normal 9 2 3" xfId="1665" xr:uid="{00000000-0005-0000-0000-000081060000}"/>
    <cellStyle name="Normal 9 2 3 2" xfId="2904" xr:uid="{0D91DDB8-D35D-4678-AACA-F40D2E1A025B}"/>
    <cellStyle name="Normal 9 3" xfId="1666" xr:uid="{00000000-0005-0000-0000-000082060000}"/>
    <cellStyle name="Normal 9 4" xfId="1667" xr:uid="{00000000-0005-0000-0000-000083060000}"/>
    <cellStyle name="Normal 9 5" xfId="1668" xr:uid="{00000000-0005-0000-0000-000084060000}"/>
    <cellStyle name="Normal 9 5 2" xfId="2892" xr:uid="{5216F1A8-76B1-4DF1-8AF5-AFA41FDCAA6C}"/>
    <cellStyle name="Normal 9 6" xfId="1986" xr:uid="{AAB65A86-A350-4A65-AF49-6D1C6DA7885E}"/>
    <cellStyle name="Normal 9 7" xfId="2926" xr:uid="{1CE3BE44-011B-4545-BB0C-F128FEC2259A}"/>
    <cellStyle name="Normal 9 8" xfId="2947" xr:uid="{DA34AB2F-A9FD-43C4-BEDD-41FED28D9FAA}"/>
    <cellStyle name="Normal_Everett Clinic 1998 Audit" xfId="1669" xr:uid="{00000000-0005-0000-0000-000085060000}"/>
    <cellStyle name="NormalCover" xfId="1670" xr:uid="{00000000-0005-0000-0000-000086060000}"/>
    <cellStyle name="Note 2" xfId="1671" xr:uid="{00000000-0005-0000-0000-000087060000}"/>
    <cellStyle name="Note 2 2" xfId="1672" xr:uid="{00000000-0005-0000-0000-000088060000}"/>
    <cellStyle name="Note 2 2 2" xfId="1673" xr:uid="{00000000-0005-0000-0000-000089060000}"/>
    <cellStyle name="Note 2 2 3" xfId="1674" xr:uid="{00000000-0005-0000-0000-00008A060000}"/>
    <cellStyle name="Note 2 2 3 2" xfId="2851" xr:uid="{883A1CD7-353A-4913-80DD-85AC856F1D64}"/>
    <cellStyle name="Note 2 2 4" xfId="1675" xr:uid="{00000000-0005-0000-0000-00008B060000}"/>
    <cellStyle name="Note 2 2 4 2" xfId="2852" xr:uid="{B51EC801-AE68-479A-BF52-BD9B62E92748}"/>
    <cellStyle name="Note 2 2 5" xfId="2850" xr:uid="{83F9189B-3A81-41B3-ACB8-8650337D6AE2}"/>
    <cellStyle name="Note 2 3" xfId="1676" xr:uid="{00000000-0005-0000-0000-00008C060000}"/>
    <cellStyle name="Note 2 4" xfId="1677" xr:uid="{00000000-0005-0000-0000-00008D060000}"/>
    <cellStyle name="Note 2 5" xfId="1678" xr:uid="{00000000-0005-0000-0000-00008E060000}"/>
    <cellStyle name="Note 2 6" xfId="1679" xr:uid="{00000000-0005-0000-0000-00008F060000}"/>
    <cellStyle name="Note 2 6 2" xfId="2853" xr:uid="{BD5AB561-5D91-4F17-AF62-3D329179844B}"/>
    <cellStyle name="Note 2 7" xfId="1680" xr:uid="{00000000-0005-0000-0000-000090060000}"/>
    <cellStyle name="Note 2 7 2" xfId="2854" xr:uid="{A4261D3B-1DCA-4D05-935B-E85302BC965C}"/>
    <cellStyle name="Note 2 8" xfId="2849" xr:uid="{1AFB4125-B19E-4673-8AA6-9E8D902F414C}"/>
    <cellStyle name="NoteFundName" xfId="1681" xr:uid="{00000000-0005-0000-0000-000091060000}"/>
    <cellStyle name="NoteHeader" xfId="1682" xr:uid="{00000000-0005-0000-0000-000092060000}"/>
    <cellStyle name="NoteSubHeader" xfId="1683" xr:uid="{00000000-0005-0000-0000-000093060000}"/>
    <cellStyle name="Output" xfId="1684" builtinId="21" customBuiltin="1"/>
    <cellStyle name="Output 2" xfId="1685" xr:uid="{00000000-0005-0000-0000-000095060000}"/>
    <cellStyle name="Output 2 2" xfId="1686" xr:uid="{00000000-0005-0000-0000-000096060000}"/>
    <cellStyle name="Output 2 3" xfId="1687" xr:uid="{00000000-0005-0000-0000-000097060000}"/>
    <cellStyle name="Output 2 4" xfId="1688" xr:uid="{00000000-0005-0000-0000-000098060000}"/>
    <cellStyle name="Percent" xfId="1689" builtinId="5"/>
    <cellStyle name="Percent #" xfId="1690" xr:uid="{00000000-0005-0000-0000-00009A060000}"/>
    <cellStyle name="Percent %" xfId="1691" xr:uid="{00000000-0005-0000-0000-00009B060000}"/>
    <cellStyle name="Percent % 2" xfId="1692" xr:uid="{00000000-0005-0000-0000-00009C060000}"/>
    <cellStyle name="Percent % 3" xfId="1693" xr:uid="{00000000-0005-0000-0000-00009D060000}"/>
    <cellStyle name="Percent % Long Underline" xfId="1694" xr:uid="{00000000-0005-0000-0000-00009E060000}"/>
    <cellStyle name="Percent (%)" xfId="1695" xr:uid="{00000000-0005-0000-0000-00009F060000}"/>
    <cellStyle name="Percent 0.0%" xfId="1696" xr:uid="{00000000-0005-0000-0000-0000A0060000}"/>
    <cellStyle name="Percent 10" xfId="1697" xr:uid="{00000000-0005-0000-0000-0000A1060000}"/>
    <cellStyle name="Percent 10 2" xfId="1698" xr:uid="{00000000-0005-0000-0000-0000A2060000}"/>
    <cellStyle name="Percent 10 3" xfId="1699" xr:uid="{00000000-0005-0000-0000-0000A3060000}"/>
    <cellStyle name="Percent 10 3 2" xfId="1700" xr:uid="{00000000-0005-0000-0000-0000A4060000}"/>
    <cellStyle name="Percent 11" xfId="1701" xr:uid="{00000000-0005-0000-0000-0000A5060000}"/>
    <cellStyle name="Percent 11 2" xfId="1702" xr:uid="{00000000-0005-0000-0000-0000A6060000}"/>
    <cellStyle name="Percent 11 3" xfId="1703" xr:uid="{00000000-0005-0000-0000-0000A7060000}"/>
    <cellStyle name="Percent 11 3 2" xfId="1704" xr:uid="{00000000-0005-0000-0000-0000A8060000}"/>
    <cellStyle name="Percent 12" xfId="1705" xr:uid="{00000000-0005-0000-0000-0000A9060000}"/>
    <cellStyle name="Percent 12 2" xfId="1706" xr:uid="{00000000-0005-0000-0000-0000AA060000}"/>
    <cellStyle name="Percent 12 3" xfId="1707" xr:uid="{00000000-0005-0000-0000-0000AB060000}"/>
    <cellStyle name="Percent 12 3 2" xfId="1708" xr:uid="{00000000-0005-0000-0000-0000AC060000}"/>
    <cellStyle name="Percent 13" xfId="1709" xr:uid="{00000000-0005-0000-0000-0000AD060000}"/>
    <cellStyle name="Percent 13 2" xfId="1710" xr:uid="{00000000-0005-0000-0000-0000AE060000}"/>
    <cellStyle name="Percent 13 3" xfId="1711" xr:uid="{00000000-0005-0000-0000-0000AF060000}"/>
    <cellStyle name="Percent 13 3 2" xfId="1712" xr:uid="{00000000-0005-0000-0000-0000B0060000}"/>
    <cellStyle name="Percent 14" xfId="1713" xr:uid="{00000000-0005-0000-0000-0000B1060000}"/>
    <cellStyle name="Percent 14 2" xfId="1714" xr:uid="{00000000-0005-0000-0000-0000B2060000}"/>
    <cellStyle name="Percent 14 3" xfId="1715" xr:uid="{00000000-0005-0000-0000-0000B3060000}"/>
    <cellStyle name="Percent 14 3 2" xfId="1716" xr:uid="{00000000-0005-0000-0000-0000B4060000}"/>
    <cellStyle name="Percent 15" xfId="1717" xr:uid="{00000000-0005-0000-0000-0000B5060000}"/>
    <cellStyle name="Percent 15 2" xfId="1718" xr:uid="{00000000-0005-0000-0000-0000B6060000}"/>
    <cellStyle name="Percent 15 3" xfId="1719" xr:uid="{00000000-0005-0000-0000-0000B7060000}"/>
    <cellStyle name="Percent 15 3 2" xfId="1720" xr:uid="{00000000-0005-0000-0000-0000B8060000}"/>
    <cellStyle name="Percent 16" xfId="1721" xr:uid="{00000000-0005-0000-0000-0000B9060000}"/>
    <cellStyle name="Percent 16 2" xfId="1722" xr:uid="{00000000-0005-0000-0000-0000BA060000}"/>
    <cellStyle name="Percent 16 2 2" xfId="1723" xr:uid="{00000000-0005-0000-0000-0000BB060000}"/>
    <cellStyle name="Percent 16 2 2 2" xfId="1724" xr:uid="{00000000-0005-0000-0000-0000BC060000}"/>
    <cellStyle name="Percent 16 2 2 2 2" xfId="2856" xr:uid="{E298CC12-B335-4517-969A-8980AA9906C7}"/>
    <cellStyle name="Percent 16 2 2 3" xfId="2855" xr:uid="{F0A202CB-DFF0-41E3-87B6-C1D79A80C83E}"/>
    <cellStyle name="Percent 16 3" xfId="1725" xr:uid="{00000000-0005-0000-0000-0000BD060000}"/>
    <cellStyle name="Percent 16 3 2" xfId="1726" xr:uid="{00000000-0005-0000-0000-0000BE060000}"/>
    <cellStyle name="Percent 16 3 2 2" xfId="2858" xr:uid="{81EDDAB9-98D5-4496-B62E-E64D7BE35F0B}"/>
    <cellStyle name="Percent 16 3 3" xfId="2857" xr:uid="{A2241403-4328-4B91-89A3-C6DDF3B330BE}"/>
    <cellStyle name="Percent 17" xfId="1727" xr:uid="{00000000-0005-0000-0000-0000BF060000}"/>
    <cellStyle name="Percent 17 2" xfId="1728" xr:uid="{00000000-0005-0000-0000-0000C0060000}"/>
    <cellStyle name="Percent 17 2 2" xfId="1729" xr:uid="{00000000-0005-0000-0000-0000C1060000}"/>
    <cellStyle name="Percent 17 2 2 2" xfId="1730" xr:uid="{00000000-0005-0000-0000-0000C2060000}"/>
    <cellStyle name="Percent 17 2 2 2 2" xfId="2860" xr:uid="{91F26F67-7FCA-4FD7-8C7B-80DD8ED3F77C}"/>
    <cellStyle name="Percent 17 2 2 3" xfId="2859" xr:uid="{8FDA8047-A6E0-4EDD-B5B3-8C345197556A}"/>
    <cellStyle name="Percent 17 3" xfId="1731" xr:uid="{00000000-0005-0000-0000-0000C3060000}"/>
    <cellStyle name="Percent 17 3 2" xfId="1732" xr:uid="{00000000-0005-0000-0000-0000C4060000}"/>
    <cellStyle name="Percent 17 3 2 2" xfId="2862" xr:uid="{4D46F089-78AD-4C6C-99D5-D970E22AC6C7}"/>
    <cellStyle name="Percent 17 3 3" xfId="2861" xr:uid="{426FD346-8E16-4E0E-B5A1-D6FAE363787F}"/>
    <cellStyle name="Percent 18" xfId="1733" xr:uid="{00000000-0005-0000-0000-0000C5060000}"/>
    <cellStyle name="Percent 18 2" xfId="1734" xr:uid="{00000000-0005-0000-0000-0000C6060000}"/>
    <cellStyle name="Percent 18 2 2" xfId="1735" xr:uid="{00000000-0005-0000-0000-0000C7060000}"/>
    <cellStyle name="Percent 18 2 2 2" xfId="1736" xr:uid="{00000000-0005-0000-0000-0000C8060000}"/>
    <cellStyle name="Percent 18 2 2 2 2" xfId="2864" xr:uid="{81A17097-B361-46F1-A7DB-C5744AAB5F20}"/>
    <cellStyle name="Percent 18 2 2 3" xfId="2863" xr:uid="{253D792F-1298-4496-B406-B9264CC78366}"/>
    <cellStyle name="Percent 18 3" xfId="1737" xr:uid="{00000000-0005-0000-0000-0000C9060000}"/>
    <cellStyle name="Percent 18 3 2" xfId="1738" xr:uid="{00000000-0005-0000-0000-0000CA060000}"/>
    <cellStyle name="Percent 18 3 2 2" xfId="2866" xr:uid="{EA5369A1-820F-4F5C-B570-07ECC782CEC1}"/>
    <cellStyle name="Percent 18 3 3" xfId="2865" xr:uid="{4B97CAC1-2340-4713-9099-C72D34E7A6DA}"/>
    <cellStyle name="Percent 19" xfId="1739" xr:uid="{00000000-0005-0000-0000-0000CB060000}"/>
    <cellStyle name="Percent 19 2" xfId="1740" xr:uid="{00000000-0005-0000-0000-0000CC060000}"/>
    <cellStyle name="Percent 19 2 2" xfId="1741" xr:uid="{00000000-0005-0000-0000-0000CD060000}"/>
    <cellStyle name="Percent 19 2 2 2" xfId="2868" xr:uid="{6A50361D-D13E-490A-B675-17843EACBDA7}"/>
    <cellStyle name="Percent 19 2 3" xfId="2867" xr:uid="{2C445DC0-BC13-434D-BE53-2FD79AA8FC8C}"/>
    <cellStyle name="Percent 19 3" xfId="1742" xr:uid="{00000000-0005-0000-0000-0000CE060000}"/>
    <cellStyle name="Percent 19 3 2" xfId="1743" xr:uid="{00000000-0005-0000-0000-0000CF060000}"/>
    <cellStyle name="Percent 19 3 2 2" xfId="2870" xr:uid="{6B4CDBBF-992A-4DEF-B4A9-3C070DCA1E2F}"/>
    <cellStyle name="Percent 19 3 3" xfId="2869" xr:uid="{1EE555B3-88C7-41B1-8168-5CF3866CBB6E}"/>
    <cellStyle name="Percent 2" xfId="1744" xr:uid="{00000000-0005-0000-0000-0000D0060000}"/>
    <cellStyle name="Percent 2 10" xfId="1745" xr:uid="{00000000-0005-0000-0000-0000D1060000}"/>
    <cellStyle name="Percent 2 10 2" xfId="1746" xr:uid="{00000000-0005-0000-0000-0000D2060000}"/>
    <cellStyle name="Percent 2 11" xfId="1747" xr:uid="{00000000-0005-0000-0000-0000D3060000}"/>
    <cellStyle name="Percent 2 12" xfId="1928" xr:uid="{BC212DE4-23A1-48E6-8CDC-CA676BA59EE6}"/>
    <cellStyle name="Percent 2 12 2" xfId="1987" xr:uid="{710D8F12-2DF4-4AB6-AD60-E9D4D792B79D}"/>
    <cellStyle name="Percent 2 13" xfId="1940" xr:uid="{E3EC141D-E645-4F3E-9FD7-E9A5296E71E4}"/>
    <cellStyle name="Percent 2 2" xfId="1748" xr:uid="{00000000-0005-0000-0000-0000D4060000}"/>
    <cellStyle name="Percent 2 2 2" xfId="1749" xr:uid="{00000000-0005-0000-0000-0000D5060000}"/>
    <cellStyle name="Percent 2 2 2 2" xfId="1750" xr:uid="{00000000-0005-0000-0000-0000D6060000}"/>
    <cellStyle name="Percent 2 2 3" xfId="1751" xr:uid="{00000000-0005-0000-0000-0000D7060000}"/>
    <cellStyle name="Percent 2 2 3 2" xfId="1752" xr:uid="{00000000-0005-0000-0000-0000D8060000}"/>
    <cellStyle name="Percent 2 2 4" xfId="1753" xr:uid="{00000000-0005-0000-0000-0000D9060000}"/>
    <cellStyle name="Percent 2 2 4 2" xfId="1754" xr:uid="{00000000-0005-0000-0000-0000DA060000}"/>
    <cellStyle name="Percent 2 2 5" xfId="1929" xr:uid="{7076E454-B1B8-43BB-B5DE-1E727FF1ECC4}"/>
    <cellStyle name="Percent 2 3" xfId="1755" xr:uid="{00000000-0005-0000-0000-0000DB060000}"/>
    <cellStyle name="Percent 2 3 2" xfId="1756" xr:uid="{00000000-0005-0000-0000-0000DC060000}"/>
    <cellStyle name="Percent 2 3 3" xfId="1757" xr:uid="{00000000-0005-0000-0000-0000DD060000}"/>
    <cellStyle name="Percent 2 3 4" xfId="1930" xr:uid="{A10D63A7-4BA6-402E-832C-ED83DA3867D8}"/>
    <cellStyle name="Percent 2 4" xfId="1758" xr:uid="{00000000-0005-0000-0000-0000DE060000}"/>
    <cellStyle name="Percent 2 4 2" xfId="1759" xr:uid="{00000000-0005-0000-0000-0000DF060000}"/>
    <cellStyle name="Percent 2 5" xfId="1760" xr:uid="{00000000-0005-0000-0000-0000E0060000}"/>
    <cellStyle name="Percent 2 5 2" xfId="1761" xr:uid="{00000000-0005-0000-0000-0000E1060000}"/>
    <cellStyle name="Percent 2 6" xfId="1762" xr:uid="{00000000-0005-0000-0000-0000E2060000}"/>
    <cellStyle name="Percent 2 6 2" xfId="1763" xr:uid="{00000000-0005-0000-0000-0000E3060000}"/>
    <cellStyle name="Percent 2 7" xfId="1764" xr:uid="{00000000-0005-0000-0000-0000E4060000}"/>
    <cellStyle name="Percent 2 8" xfId="1765" xr:uid="{00000000-0005-0000-0000-0000E5060000}"/>
    <cellStyle name="Percent 2 8 2" xfId="1766" xr:uid="{00000000-0005-0000-0000-0000E6060000}"/>
    <cellStyle name="Percent 2 9" xfId="1767" xr:uid="{00000000-0005-0000-0000-0000E7060000}"/>
    <cellStyle name="Percent 2 9 2" xfId="1768" xr:uid="{00000000-0005-0000-0000-0000E8060000}"/>
    <cellStyle name="Percent 20" xfId="1769" xr:uid="{00000000-0005-0000-0000-0000E9060000}"/>
    <cellStyle name="Percent 20 2" xfId="1770" xr:uid="{00000000-0005-0000-0000-0000EA060000}"/>
    <cellStyle name="Percent 20 2 2" xfId="1771" xr:uid="{00000000-0005-0000-0000-0000EB060000}"/>
    <cellStyle name="Percent 20 2 2 2" xfId="2872" xr:uid="{E741627A-4905-4D2D-876D-24419FC51832}"/>
    <cellStyle name="Percent 20 2 3" xfId="2871" xr:uid="{66EE2CCC-57F8-4DDA-87B7-EA814AE6B4D6}"/>
    <cellStyle name="Percent 20 3" xfId="1772" xr:uid="{00000000-0005-0000-0000-0000EC060000}"/>
    <cellStyle name="Percent 20 3 2" xfId="1773" xr:uid="{00000000-0005-0000-0000-0000ED060000}"/>
    <cellStyle name="Percent 20 3 2 2" xfId="2874" xr:uid="{21125C7B-99BA-4AC9-87AA-DDD583F51886}"/>
    <cellStyle name="Percent 20 3 3" xfId="2873" xr:uid="{49A7C279-EB15-4548-8978-D887DB67357D}"/>
    <cellStyle name="Percent 21" xfId="1774" xr:uid="{00000000-0005-0000-0000-0000EE060000}"/>
    <cellStyle name="Percent 21 2" xfId="1775" xr:uid="{00000000-0005-0000-0000-0000EF060000}"/>
    <cellStyle name="Percent 21 2 2" xfId="1776" xr:uid="{00000000-0005-0000-0000-0000F0060000}"/>
    <cellStyle name="Percent 22" xfId="1777" xr:uid="{00000000-0005-0000-0000-0000F1060000}"/>
    <cellStyle name="Percent 22 2" xfId="1778" xr:uid="{00000000-0005-0000-0000-0000F2060000}"/>
    <cellStyle name="Percent 22 2 2" xfId="1779" xr:uid="{00000000-0005-0000-0000-0000F3060000}"/>
    <cellStyle name="Percent 22 2 2 2" xfId="2877" xr:uid="{C264E98D-8DBC-4A5D-AB23-F817A9FC8140}"/>
    <cellStyle name="Percent 22 2 3" xfId="1780" xr:uid="{00000000-0005-0000-0000-0000F4060000}"/>
    <cellStyle name="Percent 22 2 3 2" xfId="2878" xr:uid="{ABEC26DD-A93B-493A-92BE-EB54B4A3332F}"/>
    <cellStyle name="Percent 22 2 4" xfId="2876" xr:uid="{2D25F55D-80F2-4858-8651-E3D1EDE5766A}"/>
    <cellStyle name="Percent 22 3" xfId="1781" xr:uid="{00000000-0005-0000-0000-0000F5060000}"/>
    <cellStyle name="Percent 22 3 2" xfId="2879" xr:uid="{DA3B1E63-5681-497E-A5C5-CC37BFE2B10A}"/>
    <cellStyle name="Percent 22 4" xfId="1782" xr:uid="{00000000-0005-0000-0000-0000F6060000}"/>
    <cellStyle name="Percent 22 4 2" xfId="2880" xr:uid="{53B1B36A-BEE4-44E2-BB84-1F1CF472C614}"/>
    <cellStyle name="Percent 22 5" xfId="2875" xr:uid="{7D737E45-7DF0-4721-97E0-A608414F2F69}"/>
    <cellStyle name="Percent 23" xfId="1783" xr:uid="{00000000-0005-0000-0000-0000F7060000}"/>
    <cellStyle name="Percent 24" xfId="1784" xr:uid="{00000000-0005-0000-0000-0000F8060000}"/>
    <cellStyle name="Percent 25" xfId="1785" xr:uid="{00000000-0005-0000-0000-0000F9060000}"/>
    <cellStyle name="Percent 26" xfId="1786" xr:uid="{00000000-0005-0000-0000-0000FA060000}"/>
    <cellStyle name="Percent 27" xfId="1787" xr:uid="{00000000-0005-0000-0000-0000FB060000}"/>
    <cellStyle name="Percent 28" xfId="1788" xr:uid="{00000000-0005-0000-0000-0000FC060000}"/>
    <cellStyle name="Percent 29" xfId="1789" xr:uid="{00000000-0005-0000-0000-0000FD060000}"/>
    <cellStyle name="Percent 3" xfId="1790" xr:uid="{00000000-0005-0000-0000-0000FE060000}"/>
    <cellStyle name="Percent 3 2" xfId="1791" xr:uid="{00000000-0005-0000-0000-0000FF060000}"/>
    <cellStyle name="Percent 3 2 2" xfId="1792" xr:uid="{00000000-0005-0000-0000-000000070000}"/>
    <cellStyle name="Percent 3 2 2 2" xfId="1793" xr:uid="{00000000-0005-0000-0000-000001070000}"/>
    <cellStyle name="Percent 3 3" xfId="1794" xr:uid="{00000000-0005-0000-0000-000002070000}"/>
    <cellStyle name="Percent 3 3 2" xfId="1795" xr:uid="{00000000-0005-0000-0000-000003070000}"/>
    <cellStyle name="Percent 3 3 3" xfId="1796" xr:uid="{00000000-0005-0000-0000-000004070000}"/>
    <cellStyle name="Percent 3 3 3 2" xfId="1797" xr:uid="{00000000-0005-0000-0000-000005070000}"/>
    <cellStyle name="Percent 3 4" xfId="1798" xr:uid="{00000000-0005-0000-0000-000006070000}"/>
    <cellStyle name="Percent 3 4 2" xfId="1799" xr:uid="{00000000-0005-0000-0000-000007070000}"/>
    <cellStyle name="Percent 3 5" xfId="1800" xr:uid="{00000000-0005-0000-0000-000008070000}"/>
    <cellStyle name="Percent 30" xfId="1801" xr:uid="{00000000-0005-0000-0000-000009070000}"/>
    <cellStyle name="Percent 31" xfId="1917" xr:uid="{5C5B632A-D04B-4373-838D-8DBA2998D5EF}"/>
    <cellStyle name="Percent 32" xfId="1921" xr:uid="{EF4C8B52-6E5F-4057-9A7F-F2E78C30BADD}"/>
    <cellStyle name="Percent 33" xfId="1932" xr:uid="{D2459811-774D-43EA-AB14-028D4EF2ADAD}"/>
    <cellStyle name="Percent 4" xfId="1802" xr:uid="{00000000-0005-0000-0000-00000A070000}"/>
    <cellStyle name="Percent 4 2" xfId="1803" xr:uid="{00000000-0005-0000-0000-00000B070000}"/>
    <cellStyle name="Percent 4 3" xfId="1804" xr:uid="{00000000-0005-0000-0000-00000C070000}"/>
    <cellStyle name="Percent 4 4" xfId="1805" xr:uid="{00000000-0005-0000-0000-00000D070000}"/>
    <cellStyle name="Percent 4 4 2" xfId="1806" xr:uid="{00000000-0005-0000-0000-00000E070000}"/>
    <cellStyle name="Percent 5" xfId="1807" xr:uid="{00000000-0005-0000-0000-00000F070000}"/>
    <cellStyle name="Percent 5 2" xfId="1808" xr:uid="{00000000-0005-0000-0000-000010070000}"/>
    <cellStyle name="Percent 5 2 2" xfId="1809" xr:uid="{00000000-0005-0000-0000-000011070000}"/>
    <cellStyle name="Percent 5 2 2 2" xfId="1810" xr:uid="{00000000-0005-0000-0000-000012070000}"/>
    <cellStyle name="Percent 5 3" xfId="1811" xr:uid="{00000000-0005-0000-0000-000013070000}"/>
    <cellStyle name="Percent 5 3 2" xfId="1812" xr:uid="{00000000-0005-0000-0000-000014070000}"/>
    <cellStyle name="Percent 5 4" xfId="1813" xr:uid="{00000000-0005-0000-0000-000015070000}"/>
    <cellStyle name="Percent 5 4 2" xfId="1814" xr:uid="{00000000-0005-0000-0000-000016070000}"/>
    <cellStyle name="Percent 6" xfId="1815" xr:uid="{00000000-0005-0000-0000-000017070000}"/>
    <cellStyle name="Percent 6 2" xfId="1816" xr:uid="{00000000-0005-0000-0000-000018070000}"/>
    <cellStyle name="Percent 7" xfId="1817" xr:uid="{00000000-0005-0000-0000-000019070000}"/>
    <cellStyle name="Percent 7 2" xfId="1818" xr:uid="{00000000-0005-0000-0000-00001A070000}"/>
    <cellStyle name="Percent 8" xfId="1819" xr:uid="{00000000-0005-0000-0000-00001B070000}"/>
    <cellStyle name="Percent 8 2" xfId="1820" xr:uid="{00000000-0005-0000-0000-00001C070000}"/>
    <cellStyle name="Percent 8 3" xfId="1821" xr:uid="{00000000-0005-0000-0000-00001D070000}"/>
    <cellStyle name="Percent 8 3 2" xfId="1822" xr:uid="{00000000-0005-0000-0000-00001E070000}"/>
    <cellStyle name="Percent 9" xfId="1823" xr:uid="{00000000-0005-0000-0000-00001F070000}"/>
    <cellStyle name="Percent 9 2" xfId="1824" xr:uid="{00000000-0005-0000-0000-000020070000}"/>
    <cellStyle name="Percent 9 3" xfId="1825" xr:uid="{00000000-0005-0000-0000-000021070000}"/>
    <cellStyle name="Percent 9 3 2" xfId="1826" xr:uid="{00000000-0005-0000-0000-000022070000}"/>
    <cellStyle name="PlanNameCover" xfId="1827" xr:uid="{00000000-0005-0000-0000-000023070000}"/>
    <cellStyle name="Report$Number" xfId="1828" xr:uid="{00000000-0005-0000-0000-000024070000}"/>
    <cellStyle name="ReportHeader" xfId="1829" xr:uid="{00000000-0005-0000-0000-000025070000}"/>
    <cellStyle name="ReportHeaderRowCol.*" xfId="1830" xr:uid="{00000000-0005-0000-0000-000026070000}"/>
    <cellStyle name="ReportHeaderRowCol.1" xfId="1831" xr:uid="{00000000-0005-0000-0000-000027070000}"/>
    <cellStyle name="ReportHeaderRowCol.2" xfId="1832" xr:uid="{00000000-0005-0000-0000-000028070000}"/>
    <cellStyle name="ReportHeaderRowCol.Date" xfId="1833" xr:uid="{00000000-0005-0000-0000-000029070000}"/>
    <cellStyle name="ReportIntegerNumber" xfId="1834" xr:uid="{00000000-0005-0000-0000-00002A070000}"/>
    <cellStyle name="ReportNumber" xfId="1835" xr:uid="{00000000-0005-0000-0000-00002B070000}"/>
    <cellStyle name="ReportSectionTitle" xfId="1836" xr:uid="{00000000-0005-0000-0000-00002C070000}"/>
    <cellStyle name="ReportSectionTitleCenter" xfId="1837" xr:uid="{00000000-0005-0000-0000-00002D070000}"/>
    <cellStyle name="ReportSectionTitleCenterWrap" xfId="1838" xr:uid="{00000000-0005-0000-0000-00002E070000}"/>
    <cellStyle name="ReportSectionTitleRight" xfId="1839" xr:uid="{00000000-0005-0000-0000-00002F070000}"/>
    <cellStyle name="ReportSectionTitleRightWrap" xfId="1840" xr:uid="{00000000-0005-0000-0000-000030070000}"/>
    <cellStyle name="ReportSectionTitleWrap" xfId="1841" xr:uid="{00000000-0005-0000-0000-000031070000}"/>
    <cellStyle name="ReportSectionTotal" xfId="1842" xr:uid="{00000000-0005-0000-0000-000032070000}"/>
    <cellStyle name="ReportText" xfId="1843" xr:uid="{00000000-0005-0000-0000-000033070000}"/>
    <cellStyle name="ReportTextCenter" xfId="1844" xr:uid="{00000000-0005-0000-0000-000034070000}"/>
    <cellStyle name="ReportTextTop" xfId="1845" xr:uid="{00000000-0005-0000-0000-000035070000}"/>
    <cellStyle name="ReportTextWrap" xfId="1846" xr:uid="{00000000-0005-0000-0000-000036070000}"/>
    <cellStyle name="ReportTitle" xfId="1847" xr:uid="{00000000-0005-0000-0000-000037070000}"/>
    <cellStyle name="SFColumnHeader" xfId="1848" xr:uid="{00000000-0005-0000-0000-000038070000}"/>
    <cellStyle name="SFColumnHeaderCenter" xfId="1849" xr:uid="{00000000-0005-0000-0000-000039070000}"/>
    <cellStyle name="SFIntegerNumber" xfId="1850" xr:uid="{00000000-0005-0000-0000-00003A070000}"/>
    <cellStyle name="SIIColumnHeader" xfId="1851" xr:uid="{00000000-0005-0000-0000-00003B070000}"/>
    <cellStyle name="SSAData" xfId="1852" xr:uid="{00000000-0005-0000-0000-00003C070000}"/>
    <cellStyle name="SSADataCenter" xfId="1853" xr:uid="{00000000-0005-0000-0000-00003D070000}"/>
    <cellStyle name="SSAEIN" xfId="1854" xr:uid="{00000000-0005-0000-0000-00003E070000}"/>
    <cellStyle name="SSAErrData" xfId="1855" xr:uid="{00000000-0005-0000-0000-00003F070000}"/>
    <cellStyle name="SSAGrid" xfId="1856" xr:uid="{00000000-0005-0000-0000-000040070000}"/>
    <cellStyle name="SSAHeader" xfId="1857" xr:uid="{00000000-0005-0000-0000-000041070000}"/>
    <cellStyle name="SSANumber" xfId="1858" xr:uid="{00000000-0005-0000-0000-000042070000}"/>
    <cellStyle name="SSANumberRight" xfId="1859" xr:uid="{00000000-0005-0000-0000-000043070000}"/>
    <cellStyle name="SSASSN" xfId="1860" xr:uid="{00000000-0005-0000-0000-000044070000}"/>
    <cellStyle name="SubgroupSectionHeaderRowBalanceCol" xfId="1861" xr:uid="{00000000-0005-0000-0000-000045070000}"/>
    <cellStyle name="SubgroupSectionHeaderRowDescCol" xfId="1862" xr:uid="{00000000-0005-0000-0000-000046070000}"/>
    <cellStyle name="SubgroupSectionHeaderRowNameCol" xfId="1863" xr:uid="{00000000-0005-0000-0000-000047070000}"/>
    <cellStyle name="SubGroupSelectionHeaderRowJERefCol" xfId="1864" xr:uid="{00000000-0005-0000-0000-000048070000}"/>
    <cellStyle name="SubgroupSubtotalRowBalanceCol" xfId="1865" xr:uid="{00000000-0005-0000-0000-000049070000}"/>
    <cellStyle name="SubgroupSubtotalRowDescCol" xfId="1866" xr:uid="{00000000-0005-0000-0000-00004A070000}"/>
    <cellStyle name="SubgroupSubtotalRowJERefCol" xfId="1867" xr:uid="{00000000-0005-0000-0000-00004B070000}"/>
    <cellStyle name="SubgroupSubtotalRowNameCol" xfId="1868" xr:uid="{00000000-0005-0000-0000-00004C070000}"/>
    <cellStyle name="SubgroupSubtotalRowSpacerCol" xfId="1869" xr:uid="{00000000-0005-0000-0000-00004D070000}"/>
    <cellStyle name="SubgroupSubtotalRowVarPectCol" xfId="1870" xr:uid="{00000000-0005-0000-0000-00004E070000}"/>
    <cellStyle name="SubgroupSubtotalRowWPRefCol" xfId="1871" xr:uid="{00000000-0005-0000-0000-00004F070000}"/>
    <cellStyle name="SumAccountGroupsRowBalanceCol" xfId="1872" xr:uid="{00000000-0005-0000-0000-000050070000}"/>
    <cellStyle name="SumAccountGroupsRowDescCol" xfId="1873" xr:uid="{00000000-0005-0000-0000-000051070000}"/>
    <cellStyle name="SumAccountGroupsRowJERefCol" xfId="1874" xr:uid="{00000000-0005-0000-0000-000052070000}"/>
    <cellStyle name="SumAccountGroupsRowNameCol" xfId="1875" xr:uid="{00000000-0005-0000-0000-000053070000}"/>
    <cellStyle name="SumAccountGroupsRowSpacerCol" xfId="1876" xr:uid="{00000000-0005-0000-0000-000054070000}"/>
    <cellStyle name="SumAccountGroupsRowVarPectCol" xfId="1877" xr:uid="{00000000-0005-0000-0000-000055070000}"/>
    <cellStyle name="SumAccountGroupsRowWPRefCol" xfId="1878" xr:uid="{00000000-0005-0000-0000-000056070000}"/>
    <cellStyle name="Table Snip" xfId="2916" xr:uid="{4B4724B0-0BB9-42BC-8E94-F07FEBF9F952}"/>
    <cellStyle name="Text Snip" xfId="2915" xr:uid="{8FA70497-726C-46AF-921D-2E4202B71264}"/>
    <cellStyle name="Text Snip 2" xfId="2954" xr:uid="{1877F5FB-F4E4-4E39-B0F5-F8F1E57ACCBA}"/>
    <cellStyle name="Title 2" xfId="1879" xr:uid="{00000000-0005-0000-0000-000057070000}"/>
    <cellStyle name="Title 2 2" xfId="1880" xr:uid="{00000000-0005-0000-0000-000058070000}"/>
    <cellStyle name="Title 2 3" xfId="1881" xr:uid="{00000000-0005-0000-0000-000059070000}"/>
    <cellStyle name="Title 2 4" xfId="1882" xr:uid="{00000000-0005-0000-0000-00005A070000}"/>
    <cellStyle name="Title 3" xfId="1883" xr:uid="{00000000-0005-0000-0000-00005B070000}"/>
    <cellStyle name="TOCPageNumber" xfId="1884" xr:uid="{00000000-0005-0000-0000-00005C070000}"/>
    <cellStyle name="TOCPageNumHeader" xfId="1885" xr:uid="{00000000-0005-0000-0000-00005D070000}"/>
    <cellStyle name="TOCSectionHeader" xfId="1886" xr:uid="{00000000-0005-0000-0000-00005E070000}"/>
    <cellStyle name="Total" xfId="1887" builtinId="25" customBuiltin="1"/>
    <cellStyle name="Total 2" xfId="1888" xr:uid="{00000000-0005-0000-0000-000060070000}"/>
    <cellStyle name="Total 2 2" xfId="1889" xr:uid="{00000000-0005-0000-0000-000061070000}"/>
    <cellStyle name="Total 2 3" xfId="1890" xr:uid="{00000000-0005-0000-0000-000062070000}"/>
    <cellStyle name="Total 2 4" xfId="1891" xr:uid="{00000000-0005-0000-0000-000063070000}"/>
    <cellStyle name="Total 2 5" xfId="1892" xr:uid="{00000000-0005-0000-0000-000064070000}"/>
    <cellStyle name="Total 2 6" xfId="1893" xr:uid="{00000000-0005-0000-0000-000065070000}"/>
    <cellStyle name="Total 3" xfId="1894" xr:uid="{00000000-0005-0000-0000-000066070000}"/>
    <cellStyle name="Total 3 2" xfId="1895" xr:uid="{00000000-0005-0000-0000-000067070000}"/>
    <cellStyle name="Total 3 3" xfId="1896" xr:uid="{00000000-0005-0000-0000-000068070000}"/>
    <cellStyle name="TotalRow" xfId="1897" xr:uid="{00000000-0005-0000-0000-000069070000}"/>
    <cellStyle name="TotalRowCreditCol" xfId="1898" xr:uid="{00000000-0005-0000-0000-00006A070000}"/>
    <cellStyle name="TotalRowDebitCol" xfId="1899" xr:uid="{00000000-0005-0000-0000-00006B070000}"/>
    <cellStyle name="TransactionRowAcctDescCol" xfId="1900" xr:uid="{00000000-0005-0000-0000-00006C070000}"/>
    <cellStyle name="TransactionRowAcctNumCol" xfId="1901" xr:uid="{00000000-0005-0000-0000-00006D070000}"/>
    <cellStyle name="TransactionRowCreditCol" xfId="1902" xr:uid="{00000000-0005-0000-0000-00006E070000}"/>
    <cellStyle name="TransactionRowDateCol" xfId="1903" xr:uid="{00000000-0005-0000-0000-00006F070000}"/>
    <cellStyle name="TransactionRowDebitCol" xfId="1904" xr:uid="{00000000-0005-0000-0000-000070070000}"/>
    <cellStyle name="TransactionRowRefCol" xfId="1905" xr:uid="{00000000-0005-0000-0000-000071070000}"/>
    <cellStyle name="TransactionRowTransactionCol" xfId="1906" xr:uid="{00000000-0005-0000-0000-000072070000}"/>
    <cellStyle name="UnclassifiedTotalRowBalanceCol" xfId="1907" xr:uid="{00000000-0005-0000-0000-000073070000}"/>
    <cellStyle name="UnclassifiedTotalRowDescCol" xfId="1908" xr:uid="{00000000-0005-0000-0000-000074070000}"/>
    <cellStyle name="UnclassifiedTotalRowJERefCol" xfId="1909" xr:uid="{00000000-0005-0000-0000-000075070000}"/>
    <cellStyle name="UnclassifiedTotalRowNameCol" xfId="1910" xr:uid="{00000000-0005-0000-0000-000076070000}"/>
    <cellStyle name="UnclassifiedTotalRowSpacerCol" xfId="1911" xr:uid="{00000000-0005-0000-0000-000077070000}"/>
    <cellStyle name="UnclassifiedTotalRowVarPectCol" xfId="1912" xr:uid="{00000000-0005-0000-0000-000078070000}"/>
    <cellStyle name="UnclassifiedTotalRowWPRefCol" xfId="1913" xr:uid="{00000000-0005-0000-0000-000079070000}"/>
    <cellStyle name="Validation Snip" xfId="2955" xr:uid="{69F75330-D7AA-4E78-B8AC-06E827DE1D0B}"/>
    <cellStyle name="Warning Text" xfId="1914" builtinId="11" customBuiltin="1"/>
    <cellStyle name="Warning Text 2" xfId="1915" xr:uid="{00000000-0005-0000-0000-00007B070000}"/>
  </cellStyles>
  <dxfs count="11">
    <dxf>
      <fill>
        <patternFill>
          <bgColor rgb="FFDBE3F0"/>
        </patternFill>
      </fill>
    </dxf>
    <dxf>
      <font>
        <b/>
        <i val="0"/>
      </font>
      <fill>
        <patternFill>
          <bgColor rgb="FFBFCFE6" tint="0.799920651875362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  <horizontal/>
      </border>
    </dxf>
    <dxf>
      <font>
        <b/>
        <i val="0"/>
        <color theme="0"/>
      </font>
      <fill>
        <patternFill>
          <bgColor rgb="FF0065A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rgb="FFFFFFFF"/>
        </vertical>
        <horizontal style="hair">
          <color indexed="64"/>
        </horizontal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2" defaultTableStyle="TableStyleMedium2" defaultPivotStyle="PivotStyleLight16">
    <tableStyle name="TableStyleLight1 2" pivot="0" count="7" xr9:uid="{00000000-0011-0000-FFFF-FFFF00000000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ACL Add-In table" pivot="0" count="4" xr9:uid="{199E7BEB-EB7B-4F37-B06F-5CE5EBFC5007}">
      <tableStyleElement type="wholeTable" dxfId="3"/>
      <tableStyleElement type="headerRow" dxfId="2"/>
      <tableStyleElement type="totalRow" dxfId="1"/>
      <tableStyleElement type="firstRow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1448-E015-4D5D-A387-695DB0D7DF23}">
  <dimension ref="B1:K144"/>
  <sheetViews>
    <sheetView tabSelected="1" workbookViewId="0">
      <selection activeCell="E9" sqref="E9"/>
    </sheetView>
  </sheetViews>
  <sheetFormatPr defaultColWidth="8.7109375" defaultRowHeight="15"/>
  <cols>
    <col min="1" max="1" width="2.28515625" customWidth="1"/>
    <col min="3" max="3" width="33.42578125" customWidth="1"/>
    <col min="5" max="5" width="24.28515625" customWidth="1"/>
    <col min="6" max="6" width="40.85546875" customWidth="1"/>
    <col min="7" max="7" width="16.28515625" bestFit="1" customWidth="1"/>
    <col min="8" max="8" width="19" customWidth="1"/>
    <col min="9" max="9" width="15.28515625" bestFit="1" customWidth="1"/>
    <col min="10" max="11" width="11" bestFit="1" customWidth="1"/>
  </cols>
  <sheetData>
    <row r="1" spans="2:7">
      <c r="B1" s="236" t="s">
        <v>826</v>
      </c>
      <c r="C1" s="236"/>
      <c r="D1" s="236"/>
      <c r="E1" s="236"/>
      <c r="F1" s="236"/>
      <c r="G1" s="236"/>
    </row>
    <row r="2" spans="2:7">
      <c r="B2" s="236"/>
      <c r="C2" s="236"/>
      <c r="D2" s="236"/>
      <c r="E2" s="236"/>
      <c r="F2" s="236"/>
      <c r="G2" s="236"/>
    </row>
    <row r="3" spans="2:7" ht="15.75" thickBot="1">
      <c r="B3" s="236"/>
      <c r="C3" s="236"/>
      <c r="D3" s="236"/>
      <c r="E3" s="237" t="s">
        <v>827</v>
      </c>
      <c r="F3" s="237" t="s">
        <v>828</v>
      </c>
      <c r="G3" s="236"/>
    </row>
    <row r="4" spans="2:7" ht="16.5" thickTop="1" thickBot="1">
      <c r="B4" s="236" t="s">
        <v>829</v>
      </c>
      <c r="C4" s="236"/>
      <c r="D4" s="236"/>
      <c r="E4" s="238">
        <v>1341</v>
      </c>
      <c r="F4" s="239" t="str">
        <f>VLOOKUP(E4,'Contribution Allocation_Report'!$A$9:$B$65536,2,FALSE)</f>
        <v>STATE OF NEW MEXICO</v>
      </c>
      <c r="G4" s="236"/>
    </row>
    <row r="5" spans="2:7" ht="15.75" thickTop="1">
      <c r="B5" s="236"/>
      <c r="C5" s="236"/>
      <c r="D5" s="236"/>
      <c r="E5" s="240"/>
      <c r="F5" s="236"/>
      <c r="G5" s="236"/>
    </row>
    <row r="6" spans="2:7">
      <c r="B6" s="236"/>
      <c r="C6" s="236"/>
      <c r="D6" s="236"/>
      <c r="E6" s="236"/>
      <c r="F6" s="236"/>
      <c r="G6" s="236"/>
    </row>
    <row r="7" spans="2:7">
      <c r="B7" s="236" t="s">
        <v>905</v>
      </c>
      <c r="C7" s="236"/>
      <c r="D7" s="236"/>
      <c r="E7" s="236"/>
      <c r="F7" s="236"/>
      <c r="G7" s="236"/>
    </row>
    <row r="8" spans="2:7" ht="15.75" thickBot="1">
      <c r="B8" s="236"/>
      <c r="C8" s="236"/>
      <c r="D8" s="236"/>
      <c r="E8" s="236"/>
      <c r="F8" s="236"/>
      <c r="G8" s="236"/>
    </row>
    <row r="9" spans="2:7" ht="16.5" thickTop="1" thickBot="1">
      <c r="B9" s="236"/>
      <c r="C9" s="236" t="s">
        <v>830</v>
      </c>
      <c r="D9" s="236"/>
      <c r="E9" s="241"/>
      <c r="F9" s="242" t="s">
        <v>831</v>
      </c>
      <c r="G9" s="236"/>
    </row>
    <row r="10" spans="2:7" ht="16.5" thickTop="1" thickBot="1">
      <c r="B10" s="236"/>
      <c r="C10" s="236"/>
      <c r="D10" s="236"/>
      <c r="E10" s="243"/>
      <c r="F10" s="242"/>
      <c r="G10" s="236"/>
    </row>
    <row r="11" spans="2:7" ht="16.5" thickTop="1" thickBot="1">
      <c r="B11" s="236"/>
      <c r="C11" s="236" t="s">
        <v>832</v>
      </c>
      <c r="D11" s="236"/>
      <c r="E11" s="241"/>
      <c r="F11" s="242" t="s">
        <v>833</v>
      </c>
      <c r="G11" s="236"/>
    </row>
    <row r="12" spans="2:7" ht="15.75" thickTop="1">
      <c r="B12" s="236"/>
      <c r="C12" s="236"/>
      <c r="D12" s="236"/>
      <c r="E12" s="243"/>
      <c r="F12" s="242" t="s">
        <v>834</v>
      </c>
      <c r="G12" s="236"/>
    </row>
    <row r="13" spans="2:7">
      <c r="B13" s="236"/>
      <c r="C13" s="236"/>
      <c r="D13" s="236"/>
      <c r="E13" s="244"/>
      <c r="F13" s="236"/>
      <c r="G13" s="236"/>
    </row>
    <row r="14" spans="2:7">
      <c r="B14" s="236" t="s">
        <v>906</v>
      </c>
      <c r="C14" s="236"/>
      <c r="D14" s="236"/>
      <c r="E14" s="236"/>
      <c r="F14" s="236"/>
      <c r="G14" s="236"/>
    </row>
    <row r="15" spans="2:7" ht="15.75" thickBot="1">
      <c r="B15" s="236"/>
      <c r="C15" s="236"/>
      <c r="D15" s="236"/>
      <c r="E15" s="236"/>
      <c r="F15" s="236"/>
      <c r="G15" s="236"/>
    </row>
    <row r="16" spans="2:7" ht="16.5" thickTop="1" thickBot="1">
      <c r="B16" s="236"/>
      <c r="C16" s="236"/>
      <c r="D16" s="236"/>
      <c r="E16" s="241"/>
      <c r="F16" s="242" t="s">
        <v>835</v>
      </c>
      <c r="G16" s="236"/>
    </row>
    <row r="17" spans="2:7" ht="15.75" thickTop="1">
      <c r="B17" s="236"/>
      <c r="C17" s="236"/>
      <c r="D17" s="236"/>
      <c r="E17" s="244"/>
      <c r="F17" s="242"/>
      <c r="G17" s="236"/>
    </row>
    <row r="18" spans="2:7">
      <c r="B18" s="237" t="s">
        <v>836</v>
      </c>
      <c r="C18" s="236"/>
      <c r="D18" s="236"/>
      <c r="E18" s="245" t="s">
        <v>837</v>
      </c>
      <c r="F18" s="237" t="s">
        <v>838</v>
      </c>
      <c r="G18" s="236"/>
    </row>
    <row r="19" spans="2:7">
      <c r="B19" s="236"/>
      <c r="C19" s="236"/>
      <c r="D19" s="236"/>
      <c r="E19" s="236"/>
      <c r="F19" s="236"/>
      <c r="G19" s="236"/>
    </row>
    <row r="20" spans="2:7">
      <c r="B20" s="236" t="s">
        <v>907</v>
      </c>
      <c r="C20" s="236"/>
      <c r="D20" s="236"/>
      <c r="E20" s="246">
        <f>VLOOKUP(E4,'Contribution Allocation_Report'!$A$9:$D$65536,4,FALSE)</f>
        <v>0.25089231417998115</v>
      </c>
      <c r="F20" s="242" t="s">
        <v>839</v>
      </c>
      <c r="G20" s="236"/>
    </row>
    <row r="21" spans="2:7">
      <c r="B21" s="236"/>
      <c r="C21" s="236"/>
      <c r="D21" s="236"/>
      <c r="E21" s="236"/>
      <c r="F21" s="236"/>
      <c r="G21" s="236"/>
    </row>
    <row r="22" spans="2:7">
      <c r="B22" s="236" t="s">
        <v>364</v>
      </c>
      <c r="C22" s="236"/>
      <c r="D22" s="236"/>
      <c r="E22" s="247">
        <f>VLOOKUP($E$4,'OPEB Amounts_Report'!$A$10:$P$65536,7,FALSE)</f>
        <v>88136552</v>
      </c>
      <c r="F22" s="242" t="s">
        <v>380</v>
      </c>
      <c r="G22" s="236"/>
    </row>
    <row r="23" spans="2:7">
      <c r="B23" s="236"/>
      <c r="C23" s="236"/>
      <c r="D23" s="236"/>
      <c r="E23" s="236"/>
      <c r="F23" s="242"/>
      <c r="G23" s="236"/>
    </row>
    <row r="24" spans="2:7">
      <c r="B24" s="236" t="s">
        <v>295</v>
      </c>
      <c r="C24" s="236"/>
      <c r="D24" s="236"/>
      <c r="E24" s="247">
        <f>VLOOKUP($E$4,'OPEB Amounts_Report'!$A$10:$P$65536,13,FALSE)</f>
        <v>258083171</v>
      </c>
      <c r="F24" s="242" t="s">
        <v>380</v>
      </c>
      <c r="G24" s="236"/>
    </row>
    <row r="25" spans="2:7">
      <c r="B25" s="236"/>
      <c r="C25" s="236"/>
      <c r="D25" s="236"/>
      <c r="E25" s="236"/>
      <c r="F25" s="242"/>
      <c r="G25" s="236"/>
    </row>
    <row r="26" spans="2:7">
      <c r="B26" s="236" t="s">
        <v>840</v>
      </c>
      <c r="C26" s="236"/>
      <c r="D26" s="236"/>
      <c r="E26" s="247">
        <f>VLOOKUP($E$4,'OPEB Amounts_Report'!$A$10:$Q$65536,17,FALSE)</f>
        <v>-63729136</v>
      </c>
      <c r="F26" s="242" t="s">
        <v>380</v>
      </c>
      <c r="G26" s="236"/>
    </row>
    <row r="27" spans="2:7">
      <c r="B27" s="236"/>
      <c r="C27" s="236"/>
      <c r="D27" s="236"/>
      <c r="E27" s="236"/>
      <c r="F27" s="242"/>
      <c r="G27" s="236"/>
    </row>
    <row r="28" spans="2:7">
      <c r="B28" s="236" t="s">
        <v>841</v>
      </c>
      <c r="C28" s="236"/>
      <c r="D28" s="236"/>
      <c r="E28" s="247">
        <f>VLOOKUP($E$4,'OPEB Amounts_Report'!$A$10:$P$65536,3,FALSE)</f>
        <v>390558188</v>
      </c>
      <c r="F28" s="242" t="s">
        <v>380</v>
      </c>
      <c r="G28" s="236"/>
    </row>
    <row r="29" spans="2:7">
      <c r="B29" s="236"/>
      <c r="C29" s="236"/>
      <c r="D29" s="236"/>
      <c r="E29" s="236"/>
      <c r="F29" s="242"/>
      <c r="G29" s="236"/>
    </row>
    <row r="30" spans="2:7">
      <c r="B30" s="236"/>
      <c r="C30" s="236"/>
      <c r="D30" s="236"/>
      <c r="E30" s="236"/>
      <c r="F30" s="236"/>
      <c r="G30" s="236"/>
    </row>
    <row r="31" spans="2:7">
      <c r="B31" s="236" t="s">
        <v>842</v>
      </c>
      <c r="C31" s="236"/>
      <c r="D31" s="236"/>
      <c r="E31" s="236"/>
      <c r="F31" s="236"/>
      <c r="G31" s="236"/>
    </row>
    <row r="32" spans="2:7">
      <c r="B32" s="236"/>
      <c r="C32" s="236"/>
      <c r="D32" s="236"/>
      <c r="E32" s="236"/>
      <c r="F32" s="236"/>
      <c r="G32" s="248"/>
    </row>
    <row r="33" spans="2:11">
      <c r="B33" s="236" t="s">
        <v>843</v>
      </c>
      <c r="C33" s="236"/>
      <c r="D33" s="236"/>
      <c r="E33" s="249">
        <f>IFERROR(VLOOKUP($E$4,'24_OPEB Amounts_Report'!$A$4:$O$324,3,0),0)-E28</f>
        <v>39380990</v>
      </c>
      <c r="F33" s="236"/>
      <c r="G33" s="236"/>
    </row>
    <row r="34" spans="2:11">
      <c r="B34" s="236" t="s">
        <v>295</v>
      </c>
      <c r="C34" s="236"/>
      <c r="D34" s="236"/>
      <c r="E34" s="249">
        <f>IFERROR(VLOOKUP($E$4,'24_OPEB Amounts_Report'!$A$4:$O$324,13,0),0)-E24</f>
        <v>68441878</v>
      </c>
      <c r="F34" s="236"/>
      <c r="G34" s="250"/>
      <c r="H34" s="250"/>
      <c r="I34" s="251"/>
    </row>
    <row r="35" spans="2:11">
      <c r="B35" s="236" t="s">
        <v>364</v>
      </c>
      <c r="C35" s="236"/>
      <c r="D35" s="236"/>
      <c r="E35" s="249">
        <f>-IFERROR(VLOOKUP($E$4,'24_OPEB Amounts_Report'!$A$4:$O$324,8,0),0)+E22-E16</f>
        <v>-10069400</v>
      </c>
      <c r="F35" s="236"/>
      <c r="G35" s="250"/>
      <c r="H35" s="251"/>
      <c r="I35" s="251"/>
      <c r="J35" s="109"/>
      <c r="K35" s="109"/>
    </row>
    <row r="36" spans="2:11">
      <c r="B36" s="236" t="s">
        <v>382</v>
      </c>
      <c r="C36" s="236"/>
      <c r="D36" s="236"/>
      <c r="E36" s="249">
        <f>+E26</f>
        <v>-63729136</v>
      </c>
      <c r="F36" s="252"/>
      <c r="G36" s="236"/>
    </row>
    <row r="37" spans="2:11">
      <c r="B37" s="236" t="s">
        <v>844</v>
      </c>
      <c r="C37" s="236"/>
      <c r="D37" s="236"/>
      <c r="E37" s="252">
        <f>-SUM(E33:E36)</f>
        <v>-34024332</v>
      </c>
      <c r="F37" s="242" t="s">
        <v>845</v>
      </c>
      <c r="G37" s="236"/>
    </row>
    <row r="38" spans="2:11">
      <c r="B38" s="236"/>
      <c r="C38" s="236"/>
      <c r="D38" s="236"/>
      <c r="E38" s="252"/>
      <c r="F38" s="253" t="s">
        <v>846</v>
      </c>
      <c r="G38" s="236"/>
    </row>
    <row r="39" spans="2:11">
      <c r="B39" s="236"/>
      <c r="C39" s="236"/>
      <c r="D39" s="236"/>
      <c r="E39" s="252"/>
      <c r="F39" s="253" t="s">
        <v>847</v>
      </c>
      <c r="G39" s="236"/>
    </row>
    <row r="40" spans="2:11">
      <c r="B40" s="236"/>
      <c r="C40" s="236"/>
      <c r="D40" s="236"/>
      <c r="E40" s="236"/>
      <c r="F40" s="236"/>
      <c r="G40" s="236"/>
    </row>
    <row r="41" spans="2:11">
      <c r="B41" s="236" t="s">
        <v>848</v>
      </c>
      <c r="C41" s="236"/>
      <c r="D41" s="236"/>
      <c r="E41" s="236"/>
      <c r="F41" s="236"/>
      <c r="G41" s="236"/>
    </row>
    <row r="42" spans="2:11">
      <c r="B42" s="236"/>
      <c r="C42" s="236"/>
      <c r="D42" s="236"/>
      <c r="E42" s="236"/>
      <c r="F42" s="236"/>
      <c r="G42" s="236"/>
    </row>
    <row r="43" spans="2:11">
      <c r="B43" s="236" t="s">
        <v>364</v>
      </c>
      <c r="C43" s="236"/>
      <c r="D43" s="236"/>
      <c r="E43" s="252">
        <f>+E9</f>
        <v>0</v>
      </c>
      <c r="F43" s="236"/>
      <c r="G43" s="236"/>
    </row>
    <row r="44" spans="2:11">
      <c r="B44" s="236" t="s">
        <v>849</v>
      </c>
      <c r="C44" s="236"/>
      <c r="D44" s="236"/>
      <c r="E44" s="252">
        <f>-E43</f>
        <v>0</v>
      </c>
      <c r="F44" s="236"/>
      <c r="G44" s="236"/>
    </row>
    <row r="45" spans="2:11">
      <c r="B45" s="236"/>
      <c r="C45" s="236"/>
      <c r="D45" s="236"/>
      <c r="E45" s="236"/>
      <c r="F45" s="236"/>
      <c r="G45" s="236"/>
    </row>
    <row r="46" spans="2:11">
      <c r="B46" s="236"/>
      <c r="C46" s="236"/>
      <c r="D46" s="236"/>
      <c r="E46" s="236"/>
      <c r="F46" s="236"/>
      <c r="G46" s="236"/>
    </row>
    <row r="47" spans="2:11">
      <c r="B47" s="236" t="s">
        <v>850</v>
      </c>
      <c r="C47" s="236"/>
      <c r="D47" s="236"/>
      <c r="E47" s="236"/>
      <c r="F47" s="236"/>
      <c r="G47" s="236"/>
    </row>
    <row r="48" spans="2:11">
      <c r="B48" s="236"/>
      <c r="C48" s="236"/>
      <c r="D48" s="236"/>
      <c r="E48" s="236"/>
      <c r="F48" s="236"/>
      <c r="G48" s="236"/>
    </row>
    <row r="49" spans="2:7">
      <c r="B49" s="236"/>
      <c r="C49" s="236"/>
      <c r="D49" s="236"/>
      <c r="E49" s="236"/>
      <c r="F49" s="236"/>
      <c r="G49" s="236"/>
    </row>
    <row r="50" spans="2:7">
      <c r="B50" s="237" t="s">
        <v>851</v>
      </c>
      <c r="C50" s="236"/>
      <c r="D50" s="236"/>
      <c r="E50" s="236"/>
      <c r="F50" s="236"/>
      <c r="G50" s="236"/>
    </row>
    <row r="51" spans="2:7">
      <c r="B51" s="236"/>
      <c r="C51" s="236"/>
      <c r="D51" s="236"/>
      <c r="E51" s="236"/>
      <c r="F51" s="236"/>
      <c r="G51" s="236"/>
    </row>
    <row r="52" spans="2:7">
      <c r="B52" s="236"/>
      <c r="C52" s="254"/>
      <c r="D52" s="255" t="s">
        <v>824</v>
      </c>
      <c r="E52" s="256">
        <f>VLOOKUP($E$4,'Discount Rate Sensitivity'!$A$4:$E$313,3,FALSE)</f>
        <v>500820021</v>
      </c>
      <c r="F52" s="242" t="s">
        <v>852</v>
      </c>
      <c r="G52" s="236"/>
    </row>
    <row r="53" spans="2:7">
      <c r="B53" s="236"/>
      <c r="C53" s="254"/>
      <c r="D53" s="255" t="s">
        <v>823</v>
      </c>
      <c r="E53" s="256">
        <f>VLOOKUP($E$4,'Discount Rate Sensitivity'!$A$4:$E$313,4,FALSE)</f>
        <v>390558188</v>
      </c>
      <c r="F53" s="242" t="s">
        <v>852</v>
      </c>
      <c r="G53" s="236"/>
    </row>
    <row r="54" spans="2:7">
      <c r="B54" s="236"/>
      <c r="C54" s="254"/>
      <c r="D54" s="255" t="s">
        <v>908</v>
      </c>
      <c r="E54" s="256">
        <f>VLOOKUP($E$4,'Discount Rate Sensitivity'!$A$4:$E$313,5,FALSE)</f>
        <v>298712282</v>
      </c>
      <c r="F54" s="242" t="s">
        <v>852</v>
      </c>
      <c r="G54" s="236"/>
    </row>
    <row r="55" spans="2:7">
      <c r="B55" s="236"/>
      <c r="C55" s="236"/>
      <c r="D55" s="236"/>
      <c r="E55" s="236"/>
      <c r="F55" s="236"/>
      <c r="G55" s="236"/>
    </row>
    <row r="56" spans="2:7">
      <c r="B56" s="237" t="s">
        <v>853</v>
      </c>
      <c r="C56" s="236"/>
      <c r="D56" s="236"/>
      <c r="E56" s="236"/>
      <c r="F56" s="236"/>
      <c r="G56" s="236"/>
    </row>
    <row r="57" spans="2:7">
      <c r="B57" s="237"/>
      <c r="C57" s="236"/>
      <c r="D57" s="236"/>
      <c r="E57" s="236"/>
      <c r="F57" s="236"/>
      <c r="G57" s="236"/>
    </row>
    <row r="58" spans="2:7">
      <c r="B58" s="236"/>
      <c r="C58" s="236"/>
      <c r="D58" s="255" t="s">
        <v>325</v>
      </c>
      <c r="E58" s="256">
        <f>VLOOKUP($E$4,'Trend Rate Sensitivity'!$A$7:$E$313,3,FALSE)</f>
        <v>290348922</v>
      </c>
      <c r="F58" s="242" t="s">
        <v>854</v>
      </c>
      <c r="G58" s="236"/>
    </row>
    <row r="59" spans="2:7">
      <c r="B59" s="236"/>
      <c r="C59" s="236"/>
      <c r="D59" s="255" t="s">
        <v>855</v>
      </c>
      <c r="E59" s="256">
        <f>VLOOKUP($E$4,'Trend Rate Sensitivity'!$A$7:$E$313,4,FALSE)</f>
        <v>390558188</v>
      </c>
      <c r="F59" s="242" t="s">
        <v>854</v>
      </c>
      <c r="G59" s="236"/>
    </row>
    <row r="60" spans="2:7">
      <c r="B60" s="236"/>
      <c r="C60" s="236"/>
      <c r="D60" s="255" t="s">
        <v>326</v>
      </c>
      <c r="E60" s="256">
        <f>VLOOKUP($E$4,'Trend Rate Sensitivity'!$A$7:$E$313,5,FALSE)</f>
        <v>513304944</v>
      </c>
      <c r="F60" s="242" t="s">
        <v>854</v>
      </c>
      <c r="G60" s="236"/>
    </row>
    <row r="61" spans="2:7">
      <c r="B61" s="236"/>
      <c r="C61" s="236"/>
      <c r="D61" s="236"/>
      <c r="E61" s="236"/>
      <c r="F61" s="236"/>
      <c r="G61" s="236"/>
    </row>
    <row r="62" spans="2:7">
      <c r="B62" s="236"/>
      <c r="C62" s="236"/>
      <c r="D62" s="236"/>
      <c r="E62" s="236"/>
      <c r="F62" s="236"/>
      <c r="G62" s="236"/>
    </row>
    <row r="63" spans="2:7">
      <c r="B63" s="237" t="s">
        <v>856</v>
      </c>
      <c r="C63" s="236"/>
      <c r="D63" s="236"/>
      <c r="E63" s="236"/>
      <c r="F63" s="236"/>
      <c r="G63" s="236"/>
    </row>
    <row r="64" spans="2:7">
      <c r="B64" s="236"/>
      <c r="C64" s="236"/>
      <c r="D64" s="236"/>
      <c r="E64" s="236"/>
      <c r="F64" s="236"/>
      <c r="G64" s="236"/>
    </row>
    <row r="65" spans="2:7">
      <c r="B65" s="257" t="s">
        <v>364</v>
      </c>
      <c r="C65" s="236"/>
      <c r="D65" s="236"/>
      <c r="E65" s="258" t="s">
        <v>837</v>
      </c>
      <c r="F65" s="236"/>
      <c r="G65" s="236"/>
    </row>
    <row r="66" spans="2:7">
      <c r="B66" s="257"/>
      <c r="C66" s="236"/>
      <c r="D66" s="236"/>
      <c r="E66" s="258"/>
      <c r="F66" s="236"/>
      <c r="G66" s="236"/>
    </row>
    <row r="67" spans="2:7">
      <c r="B67" s="259" t="s">
        <v>857</v>
      </c>
      <c r="C67" s="236"/>
      <c r="D67" s="236"/>
      <c r="E67" s="236"/>
      <c r="F67" s="236"/>
      <c r="G67" s="236"/>
    </row>
    <row r="68" spans="2:7">
      <c r="B68" s="260" t="s">
        <v>858</v>
      </c>
      <c r="C68" s="236"/>
      <c r="D68" s="236"/>
      <c r="E68" s="256">
        <f>VLOOKUP($E$4,'OPEB Amounts_Report'!$A$10:$P$65536,4,FALSE)</f>
        <v>2375259</v>
      </c>
      <c r="F68" s="242" t="s">
        <v>380</v>
      </c>
      <c r="G68" s="236"/>
    </row>
    <row r="69" spans="2:7">
      <c r="B69" s="260"/>
      <c r="C69" s="236"/>
      <c r="D69" s="236"/>
      <c r="E69" s="256"/>
      <c r="F69" s="242"/>
      <c r="G69" s="236"/>
    </row>
    <row r="70" spans="2:7">
      <c r="B70" s="259" t="s">
        <v>298</v>
      </c>
      <c r="C70" s="236"/>
      <c r="D70" s="236"/>
      <c r="E70" s="256">
        <f>VLOOKUP($E$4,'OPEB Amounts_Report'!$A$10:$P$65536,5,FALSE)</f>
        <v>56200988</v>
      </c>
      <c r="F70" s="242" t="s">
        <v>380</v>
      </c>
      <c r="G70" s="236"/>
    </row>
    <row r="71" spans="2:7">
      <c r="B71" s="259"/>
      <c r="C71" s="236"/>
      <c r="D71" s="236"/>
      <c r="E71" s="236"/>
      <c r="F71" s="236"/>
      <c r="G71" s="236"/>
    </row>
    <row r="72" spans="2:7">
      <c r="B72" s="236" t="s">
        <v>862</v>
      </c>
      <c r="C72" s="236"/>
      <c r="D72" s="236"/>
      <c r="E72" s="256">
        <f>VLOOKUP($E$4,'OPEB Amounts_Report'!$A$10:$P$65536,6,FALSE)</f>
        <v>29560305</v>
      </c>
      <c r="F72" s="242" t="s">
        <v>380</v>
      </c>
      <c r="G72" s="236"/>
    </row>
    <row r="73" spans="2:7">
      <c r="B73" s="236"/>
      <c r="C73" s="236"/>
      <c r="D73" s="236"/>
      <c r="E73" s="236"/>
      <c r="F73" s="236"/>
      <c r="G73" s="236"/>
    </row>
    <row r="74" spans="2:7">
      <c r="B74" s="236" t="s">
        <v>863</v>
      </c>
      <c r="C74" s="236"/>
      <c r="D74" s="236"/>
      <c r="E74" s="236"/>
      <c r="F74" s="236"/>
      <c r="G74" s="236"/>
    </row>
    <row r="75" spans="2:7">
      <c r="B75" s="261" t="s">
        <v>864</v>
      </c>
      <c r="C75" s="236"/>
      <c r="D75" s="236"/>
      <c r="E75" s="249">
        <f>+E9</f>
        <v>0</v>
      </c>
      <c r="F75" s="242" t="s">
        <v>831</v>
      </c>
      <c r="G75" s="236"/>
    </row>
    <row r="76" spans="2:7">
      <c r="B76" s="236"/>
      <c r="C76" s="236"/>
      <c r="D76" s="236"/>
      <c r="E76" s="236"/>
      <c r="F76" s="236"/>
      <c r="G76" s="236"/>
    </row>
    <row r="77" spans="2:7" ht="15.75" thickBot="1">
      <c r="B77" s="236" t="s">
        <v>366</v>
      </c>
      <c r="C77" s="236"/>
      <c r="D77" s="236"/>
      <c r="E77" s="262">
        <f>SUM(E68:E76)</f>
        <v>88136552</v>
      </c>
      <c r="F77" s="236"/>
      <c r="G77" s="236"/>
    </row>
    <row r="78" spans="2:7" ht="15.75" thickTop="1">
      <c r="B78" s="236"/>
      <c r="C78" s="236"/>
      <c r="D78" s="236"/>
      <c r="E78" s="236"/>
      <c r="F78" s="236"/>
      <c r="G78" s="236"/>
    </row>
    <row r="79" spans="2:7">
      <c r="B79" s="257" t="s">
        <v>295</v>
      </c>
      <c r="C79" s="257"/>
      <c r="D79" s="257"/>
      <c r="E79" s="258" t="s">
        <v>837</v>
      </c>
      <c r="F79" s="236"/>
      <c r="G79" s="236"/>
    </row>
    <row r="80" spans="2:7">
      <c r="B80" s="236"/>
      <c r="C80" s="236"/>
      <c r="D80" s="236"/>
      <c r="E80" s="236"/>
      <c r="F80" s="236"/>
      <c r="G80" s="236"/>
    </row>
    <row r="81" spans="2:8">
      <c r="B81" s="259" t="s">
        <v>857</v>
      </c>
      <c r="C81" s="236"/>
      <c r="D81" s="236"/>
      <c r="E81" s="236"/>
      <c r="F81" s="236"/>
      <c r="G81" s="236"/>
    </row>
    <row r="82" spans="2:8">
      <c r="B82" s="260" t="s">
        <v>858</v>
      </c>
      <c r="C82" s="236"/>
      <c r="D82" s="236"/>
      <c r="E82" s="256">
        <f>VLOOKUP($E$4,'OPEB Amounts_Report'!$A$10:$P$65536,9,FALSE)</f>
        <v>67107708</v>
      </c>
      <c r="F82" s="242" t="s">
        <v>380</v>
      </c>
      <c r="G82" s="236"/>
    </row>
    <row r="83" spans="2:8">
      <c r="B83" s="260"/>
      <c r="C83" s="236"/>
      <c r="D83" s="236"/>
      <c r="E83" s="263"/>
      <c r="F83" s="242"/>
      <c r="G83" s="236"/>
    </row>
    <row r="84" spans="2:8">
      <c r="B84" s="259" t="s">
        <v>859</v>
      </c>
      <c r="C84" s="236"/>
      <c r="D84" s="236"/>
      <c r="E84" s="256"/>
      <c r="F84" s="242"/>
      <c r="G84" s="236"/>
    </row>
    <row r="85" spans="2:8">
      <c r="B85" s="260" t="s">
        <v>860</v>
      </c>
      <c r="C85" s="236"/>
      <c r="D85" s="236"/>
      <c r="E85" s="256"/>
      <c r="F85" s="242"/>
      <c r="G85" s="236"/>
    </row>
    <row r="86" spans="2:8">
      <c r="B86" s="260" t="s">
        <v>861</v>
      </c>
      <c r="C86" s="236"/>
      <c r="D86" s="236"/>
      <c r="E86" s="256">
        <f>VLOOKUP($E$4,'OPEB Amounts_Report'!$A$10:$P$65536,10,FALSE)</f>
        <v>5908780</v>
      </c>
      <c r="F86" s="242" t="s">
        <v>380</v>
      </c>
      <c r="G86" s="236"/>
    </row>
    <row r="87" spans="2:8">
      <c r="B87" s="260"/>
      <c r="C87" s="236"/>
      <c r="D87" s="236"/>
      <c r="E87" s="263"/>
      <c r="F87" s="242"/>
      <c r="G87" s="236"/>
    </row>
    <row r="88" spans="2:8">
      <c r="B88" s="259" t="s">
        <v>298</v>
      </c>
      <c r="C88" s="236"/>
      <c r="D88" s="236"/>
      <c r="E88" s="256">
        <f>VLOOKUP($E$4,'OPEB Amounts_Report'!$A$10:$P$65536,11,FALSE)</f>
        <v>180125011</v>
      </c>
      <c r="F88" s="242" t="s">
        <v>380</v>
      </c>
      <c r="G88" s="236"/>
    </row>
    <row r="89" spans="2:8">
      <c r="B89" s="259"/>
      <c r="C89" s="236"/>
      <c r="D89" s="236"/>
      <c r="E89" s="263"/>
      <c r="F89" s="242"/>
      <c r="G89" s="236"/>
    </row>
    <row r="90" spans="2:8">
      <c r="B90" s="259" t="s">
        <v>862</v>
      </c>
      <c r="C90" s="236"/>
      <c r="D90" s="236"/>
      <c r="E90" s="256">
        <f>VLOOKUP($E$4,'OPEB Amounts_Report'!$A$10:$P$65536,12,FALSE)</f>
        <v>4941672</v>
      </c>
      <c r="F90" s="242" t="s">
        <v>380</v>
      </c>
      <c r="G90" s="236"/>
      <c r="H90" s="109"/>
    </row>
    <row r="91" spans="2:8">
      <c r="B91" s="259"/>
      <c r="C91" s="236"/>
      <c r="D91" s="236"/>
      <c r="E91" s="263"/>
      <c r="F91" s="242"/>
      <c r="G91" s="236"/>
    </row>
    <row r="92" spans="2:8" ht="15.75" thickBot="1">
      <c r="B92" s="236" t="s">
        <v>299</v>
      </c>
      <c r="C92" s="236"/>
      <c r="D92" s="236"/>
      <c r="E92" s="262">
        <f>SUM(E82:E91)</f>
        <v>258083171</v>
      </c>
      <c r="F92" s="236"/>
      <c r="G92" s="236"/>
    </row>
    <row r="93" spans="2:8" ht="15.75" thickTop="1">
      <c r="B93" s="236"/>
      <c r="C93" s="236"/>
      <c r="D93" s="236"/>
      <c r="E93" s="236"/>
      <c r="F93" s="236"/>
      <c r="G93" s="236"/>
    </row>
    <row r="94" spans="2:8">
      <c r="B94" s="236"/>
      <c r="C94" s="236"/>
      <c r="D94" s="236"/>
      <c r="E94" s="236"/>
      <c r="F94" s="236"/>
      <c r="G94" s="236"/>
    </row>
    <row r="95" spans="2:8">
      <c r="B95" s="237" t="s">
        <v>300</v>
      </c>
      <c r="C95" s="236"/>
      <c r="D95" s="236"/>
      <c r="E95" s="236"/>
      <c r="F95" s="236"/>
      <c r="G95" s="236"/>
    </row>
    <row r="96" spans="2:8">
      <c r="B96" s="236"/>
      <c r="C96" s="236"/>
      <c r="D96" s="236"/>
      <c r="E96" s="236"/>
      <c r="F96" s="236"/>
      <c r="G96" s="236"/>
    </row>
    <row r="97" spans="2:8">
      <c r="B97" s="236"/>
      <c r="C97" s="236"/>
      <c r="D97" s="240" t="s">
        <v>865</v>
      </c>
      <c r="E97" s="240" t="s">
        <v>837</v>
      </c>
      <c r="F97" s="236"/>
      <c r="G97" s="236"/>
    </row>
    <row r="98" spans="2:8">
      <c r="B98" s="236"/>
      <c r="C98" s="236"/>
      <c r="D98" s="236">
        <v>2027</v>
      </c>
      <c r="E98" s="256">
        <f>VLOOKUP($E$4,'Amortization Tables_Report'!$A$10:$G$319,3,FALSE)</f>
        <v>-97366093</v>
      </c>
      <c r="F98" s="242" t="s">
        <v>866</v>
      </c>
      <c r="G98" s="236"/>
    </row>
    <row r="99" spans="2:8">
      <c r="B99" s="236"/>
      <c r="C99" s="236"/>
      <c r="D99" s="236">
        <v>2028</v>
      </c>
      <c r="E99" s="256">
        <f>VLOOKUP($E$4,'Amortization Tables_Report'!$A$10:$G$319,4,FALSE)</f>
        <v>-64662510</v>
      </c>
      <c r="F99" s="242" t="s">
        <v>866</v>
      </c>
      <c r="G99" s="236"/>
    </row>
    <row r="100" spans="2:8">
      <c r="B100" s="236"/>
      <c r="C100" s="236"/>
      <c r="D100" s="236">
        <v>2029</v>
      </c>
      <c r="E100" s="256">
        <f>VLOOKUP($E$4,'Amortization Tables_Report'!$A$10:$G$319,5,FALSE)</f>
        <v>-16228389</v>
      </c>
      <c r="F100" s="242" t="s">
        <v>866</v>
      </c>
      <c r="G100" s="236"/>
    </row>
    <row r="101" spans="2:8">
      <c r="B101" s="236"/>
      <c r="C101" s="236"/>
      <c r="D101" s="236">
        <v>2030</v>
      </c>
      <c r="E101" s="256">
        <f>VLOOKUP($E$4,'Amortization Tables_Report'!$A$10:$G$319,6,FALSE)</f>
        <v>7113992</v>
      </c>
      <c r="F101" s="242" t="s">
        <v>866</v>
      </c>
      <c r="G101" s="236"/>
    </row>
    <row r="102" spans="2:8">
      <c r="B102" s="236"/>
      <c r="C102" s="236"/>
      <c r="D102" s="236">
        <v>2031</v>
      </c>
      <c r="E102" s="256">
        <f>VLOOKUP($E$4,'Amortization Tables_Report'!$A$10:$G$319,7,FALSE)</f>
        <v>1196381</v>
      </c>
      <c r="F102" s="242" t="s">
        <v>866</v>
      </c>
      <c r="G102" s="236"/>
    </row>
    <row r="103" spans="2:8" ht="15.75" thickBot="1">
      <c r="B103" s="236"/>
      <c r="C103" s="236"/>
      <c r="D103" s="240" t="s">
        <v>360</v>
      </c>
      <c r="E103" s="262">
        <f>SUM(E98:E102)</f>
        <v>-169946619</v>
      </c>
      <c r="F103" s="236"/>
      <c r="G103" s="236"/>
      <c r="H103" s="109"/>
    </row>
    <row r="104" spans="2:8" ht="15.75" thickTop="1">
      <c r="B104" s="236"/>
      <c r="C104" s="236"/>
      <c r="D104" s="236"/>
      <c r="E104" s="236"/>
      <c r="F104" s="252"/>
      <c r="G104" s="236"/>
    </row>
    <row r="105" spans="2:8">
      <c r="B105" s="236"/>
      <c r="C105" s="236"/>
      <c r="D105" s="236"/>
      <c r="E105" s="236"/>
      <c r="F105" s="236"/>
      <c r="G105" s="236"/>
    </row>
    <row r="106" spans="2:8">
      <c r="B106" s="237" t="s">
        <v>867</v>
      </c>
      <c r="C106" s="236"/>
      <c r="D106" s="236"/>
      <c r="E106" s="236"/>
      <c r="F106" s="236"/>
      <c r="G106" s="236"/>
    </row>
    <row r="107" spans="2:8">
      <c r="B107" s="236"/>
      <c r="C107" s="236"/>
      <c r="D107" s="236"/>
      <c r="E107" s="236"/>
      <c r="F107" s="236"/>
      <c r="G107" s="236"/>
    </row>
    <row r="108" spans="2:8">
      <c r="B108" s="236" t="s">
        <v>868</v>
      </c>
      <c r="C108" s="236"/>
      <c r="D108" s="236"/>
      <c r="E108" s="236"/>
      <c r="F108" s="236"/>
      <c r="G108" s="236"/>
    </row>
    <row r="109" spans="2:8">
      <c r="B109" s="236"/>
      <c r="C109" s="236"/>
      <c r="D109" s="236"/>
      <c r="E109" s="236"/>
      <c r="F109" s="236"/>
      <c r="G109" s="236"/>
    </row>
    <row r="110" spans="2:8">
      <c r="B110" s="236"/>
      <c r="C110" s="236"/>
      <c r="D110" s="236"/>
      <c r="E110" s="264">
        <v>2026</v>
      </c>
      <c r="F110" s="236"/>
      <c r="G110" s="236"/>
    </row>
    <row r="111" spans="2:8">
      <c r="B111" s="236"/>
      <c r="C111" s="236"/>
      <c r="D111" s="236"/>
      <c r="E111" s="240"/>
      <c r="F111" s="236"/>
      <c r="G111" s="236"/>
    </row>
    <row r="112" spans="2:8">
      <c r="B112" s="236" t="s">
        <v>869</v>
      </c>
      <c r="C112" s="236"/>
      <c r="D112" s="236"/>
      <c r="E112" s="236"/>
      <c r="F112" s="236"/>
      <c r="G112" s="236"/>
    </row>
    <row r="113" spans="2:7">
      <c r="B113" s="236" t="s">
        <v>870</v>
      </c>
      <c r="C113" s="236"/>
      <c r="D113" s="236"/>
      <c r="E113" s="265">
        <f>+E20</f>
        <v>0.25089231417998115</v>
      </c>
      <c r="F113" s="242" t="s">
        <v>839</v>
      </c>
      <c r="G113" s="236"/>
    </row>
    <row r="114" spans="2:7">
      <c r="B114" s="236"/>
      <c r="C114" s="236"/>
      <c r="D114" s="236"/>
      <c r="E114" s="236"/>
      <c r="F114" s="236"/>
      <c r="G114" s="236"/>
    </row>
    <row r="115" spans="2:7">
      <c r="B115" s="236" t="s">
        <v>871</v>
      </c>
      <c r="C115" s="236"/>
      <c r="D115" s="236"/>
      <c r="E115" s="236"/>
      <c r="F115" s="236"/>
      <c r="G115" s="236"/>
    </row>
    <row r="116" spans="2:7">
      <c r="B116" s="236" t="s">
        <v>872</v>
      </c>
      <c r="C116" s="236"/>
      <c r="D116" s="236"/>
      <c r="E116" s="266">
        <f>+E28</f>
        <v>390558188</v>
      </c>
      <c r="F116" s="242" t="s">
        <v>380</v>
      </c>
      <c r="G116" s="236"/>
    </row>
    <row r="117" spans="2:7">
      <c r="B117" s="236"/>
      <c r="C117" s="236"/>
      <c r="D117" s="236"/>
      <c r="E117" s="236"/>
      <c r="F117" s="236"/>
      <c r="G117" s="236"/>
    </row>
    <row r="118" spans="2:7">
      <c r="B118" s="236" t="s">
        <v>873</v>
      </c>
      <c r="C118" s="236"/>
      <c r="D118" s="236"/>
      <c r="E118" s="267">
        <f>+E113*6246365057</f>
        <v>1567164984.3636999</v>
      </c>
      <c r="F118" s="242" t="s">
        <v>910</v>
      </c>
      <c r="G118" s="236"/>
    </row>
    <row r="119" spans="2:7">
      <c r="B119" s="236"/>
      <c r="C119" s="236"/>
      <c r="D119" s="236"/>
      <c r="E119" s="236"/>
      <c r="F119" s="253" t="s">
        <v>874</v>
      </c>
      <c r="G119" s="236"/>
    </row>
    <row r="120" spans="2:7">
      <c r="B120" s="236"/>
      <c r="C120" s="236"/>
      <c r="D120" s="236"/>
      <c r="E120" s="236"/>
      <c r="F120" s="236"/>
      <c r="G120" s="236"/>
    </row>
    <row r="121" spans="2:7">
      <c r="B121" s="236" t="s">
        <v>875</v>
      </c>
      <c r="C121" s="236"/>
      <c r="D121" s="236"/>
      <c r="E121" s="236"/>
      <c r="F121" s="236"/>
      <c r="G121" s="236"/>
    </row>
    <row r="122" spans="2:7">
      <c r="B122" s="236" t="s">
        <v>876</v>
      </c>
      <c r="C122" s="236"/>
      <c r="D122" s="236"/>
      <c r="E122" s="236"/>
      <c r="F122" s="236"/>
      <c r="G122" s="236"/>
    </row>
    <row r="123" spans="2:7">
      <c r="B123" s="236" t="s">
        <v>877</v>
      </c>
      <c r="C123" s="236"/>
      <c r="D123" s="236"/>
      <c r="E123" s="268">
        <v>0.2492</v>
      </c>
      <c r="F123" s="242" t="s">
        <v>878</v>
      </c>
      <c r="G123" s="236"/>
    </row>
    <row r="124" spans="2:7">
      <c r="B124" s="236"/>
      <c r="C124" s="236"/>
      <c r="D124" s="236"/>
      <c r="E124" s="236"/>
      <c r="F124" s="236"/>
      <c r="G124" s="236"/>
    </row>
    <row r="125" spans="2:7">
      <c r="B125" s="236" t="s">
        <v>879</v>
      </c>
      <c r="C125" s="236"/>
      <c r="D125" s="236"/>
      <c r="E125" s="236"/>
      <c r="F125" s="236"/>
      <c r="G125" s="236"/>
    </row>
    <row r="126" spans="2:7">
      <c r="B126" s="236" t="s">
        <v>880</v>
      </c>
      <c r="C126" s="236"/>
      <c r="D126" s="236"/>
      <c r="E126" s="236"/>
      <c r="F126" s="236"/>
      <c r="G126" s="236"/>
    </row>
    <row r="127" spans="2:7">
      <c r="B127" s="236" t="s">
        <v>870</v>
      </c>
      <c r="C127" s="236"/>
      <c r="D127" s="236"/>
      <c r="E127" s="269">
        <v>0.54520000000000002</v>
      </c>
      <c r="F127" s="242" t="s">
        <v>911</v>
      </c>
      <c r="G127" s="236"/>
    </row>
    <row r="128" spans="2:7">
      <c r="B128" s="236"/>
      <c r="C128" s="236"/>
      <c r="D128" s="236"/>
      <c r="E128" s="236"/>
      <c r="F128" s="236"/>
      <c r="G128" s="236"/>
    </row>
    <row r="129" spans="2:7">
      <c r="B129" s="236"/>
      <c r="C129" s="236"/>
      <c r="D129" s="236"/>
      <c r="E129" s="236"/>
      <c r="F129" s="236"/>
      <c r="G129" s="236"/>
    </row>
    <row r="130" spans="2:7">
      <c r="B130" s="236" t="s">
        <v>881</v>
      </c>
      <c r="C130" s="236"/>
      <c r="D130" s="236"/>
      <c r="E130" s="236"/>
      <c r="F130" s="236"/>
      <c r="G130" s="236"/>
    </row>
    <row r="131" spans="2:7">
      <c r="B131" s="236"/>
      <c r="C131" s="236"/>
      <c r="D131" s="236"/>
      <c r="E131" s="236"/>
      <c r="F131" s="236"/>
      <c r="G131" s="236"/>
    </row>
    <row r="132" spans="2:7">
      <c r="B132" s="236"/>
      <c r="C132" s="236"/>
      <c r="D132" s="236"/>
      <c r="E132" s="264">
        <v>2026</v>
      </c>
      <c r="F132" s="236"/>
      <c r="G132" s="236"/>
    </row>
    <row r="133" spans="2:7">
      <c r="B133" s="236"/>
      <c r="C133" s="236"/>
      <c r="D133" s="236"/>
      <c r="E133" s="240"/>
      <c r="F133" s="236"/>
      <c r="G133" s="236"/>
    </row>
    <row r="134" spans="2:7">
      <c r="B134" s="236" t="s">
        <v>882</v>
      </c>
      <c r="C134" s="236"/>
      <c r="D134" s="236"/>
      <c r="E134" s="267">
        <f>+E9</f>
        <v>0</v>
      </c>
      <c r="F134" s="242" t="s">
        <v>831</v>
      </c>
      <c r="G134" s="236"/>
    </row>
    <row r="135" spans="2:7">
      <c r="B135" s="236"/>
      <c r="C135" s="236"/>
      <c r="D135" s="236"/>
      <c r="E135" s="236"/>
      <c r="F135" s="236"/>
      <c r="G135" s="236"/>
    </row>
    <row r="136" spans="2:7">
      <c r="B136" s="236" t="s">
        <v>883</v>
      </c>
      <c r="C136" s="236"/>
      <c r="D136" s="236"/>
      <c r="E136" s="236"/>
      <c r="F136" s="236"/>
      <c r="G136" s="236"/>
    </row>
    <row r="137" spans="2:7">
      <c r="B137" s="236" t="s">
        <v>884</v>
      </c>
      <c r="C137" s="236"/>
      <c r="D137" s="236"/>
      <c r="E137" s="263">
        <f>+E9</f>
        <v>0</v>
      </c>
      <c r="F137" s="242" t="s">
        <v>878</v>
      </c>
      <c r="G137" s="236"/>
    </row>
    <row r="138" spans="2:7">
      <c r="B138" s="236"/>
      <c r="C138" s="236"/>
      <c r="D138" s="236"/>
      <c r="E138" s="263"/>
      <c r="F138" s="236"/>
      <c r="G138" s="236"/>
    </row>
    <row r="139" spans="2:7" ht="15.75" thickBot="1">
      <c r="B139" s="236" t="s">
        <v>885</v>
      </c>
      <c r="C139" s="236"/>
      <c r="D139" s="236"/>
      <c r="E139" s="270">
        <v>0</v>
      </c>
      <c r="F139" s="236"/>
      <c r="G139" s="236"/>
    </row>
    <row r="140" spans="2:7" ht="15.75" thickTop="1">
      <c r="B140" s="236"/>
      <c r="C140" s="236"/>
      <c r="D140" s="236"/>
      <c r="E140" s="236"/>
      <c r="F140" s="236"/>
      <c r="G140" s="236"/>
    </row>
    <row r="141" spans="2:7">
      <c r="B141" s="236" t="s">
        <v>886</v>
      </c>
      <c r="C141" s="236"/>
      <c r="D141" s="236"/>
      <c r="E141" s="267">
        <f>+E11</f>
        <v>0</v>
      </c>
      <c r="F141" s="242" t="s">
        <v>909</v>
      </c>
      <c r="G141" s="236"/>
    </row>
    <row r="142" spans="2:7">
      <c r="B142" s="236"/>
      <c r="C142" s="236"/>
      <c r="D142" s="236"/>
      <c r="E142" s="236"/>
      <c r="F142" s="253" t="s">
        <v>887</v>
      </c>
      <c r="G142" s="236"/>
    </row>
    <row r="143" spans="2:7">
      <c r="B143" s="236" t="s">
        <v>888</v>
      </c>
      <c r="C143" s="236"/>
      <c r="D143" s="236"/>
      <c r="E143" s="236"/>
      <c r="F143" s="236"/>
      <c r="G143" s="236"/>
    </row>
    <row r="144" spans="2:7">
      <c r="B144" s="236" t="s">
        <v>889</v>
      </c>
      <c r="C144" s="236"/>
      <c r="D144" s="236"/>
      <c r="E144" s="268" t="e">
        <f>+E137/E141</f>
        <v>#DIV/0!</v>
      </c>
      <c r="F144" s="242" t="s">
        <v>878</v>
      </c>
      <c r="G144" s="236"/>
    </row>
  </sheetData>
  <sheetProtection algorithmName="SHA-512" hashValue="/Vr5G55oNzPk1wwmvJKWjLeBrduHx1Ii9f+NgKteze0tFKF/uEXeTORIxvZPeGwPmUPlcmpifOXj7BRgq5kmTA==" saltValue="v75YeJP3e3tMr0sQ3fj0jw==" spinCount="100000" sheet="1" objects="1" scenarios="1" selectLockedCells="1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Q321"/>
  <sheetViews>
    <sheetView view="pageBreakPreview" zoomScaleNormal="100" zoomScaleSheetLayoutView="100" workbookViewId="0">
      <pane ySplit="2" topLeftCell="A294" activePane="bottomLeft" state="frozen"/>
      <selection activeCell="B143" sqref="B143"/>
      <selection pane="bottomLeft" activeCell="B143" sqref="B143"/>
    </sheetView>
  </sheetViews>
  <sheetFormatPr defaultColWidth="9.42578125" defaultRowHeight="12.75"/>
  <cols>
    <col min="1" max="1" width="12.42578125" style="5" customWidth="1"/>
    <col min="2" max="2" width="64.42578125" style="5" bestFit="1" customWidth="1"/>
    <col min="3" max="3" width="15.5703125" style="5" customWidth="1"/>
    <col min="4" max="4" width="2.42578125" style="5" customWidth="1"/>
    <col min="5" max="5" width="14.42578125" style="5" customWidth="1"/>
    <col min="6" max="6" width="2.42578125" style="5" customWidth="1"/>
    <col min="7" max="7" width="15.42578125" style="5" customWidth="1"/>
    <col min="8" max="8" width="17" style="5" bestFit="1" customWidth="1"/>
    <col min="9" max="9" width="20" style="5" bestFit="1" customWidth="1"/>
    <col min="10" max="10" width="9" style="5" customWidth="1"/>
    <col min="11" max="11" width="15.42578125" style="5" customWidth="1"/>
    <col min="12" max="12" width="10.5703125" style="5" bestFit="1" customWidth="1"/>
    <col min="13" max="16" width="11" style="5" bestFit="1" customWidth="1"/>
    <col min="17" max="17" width="9.42578125" style="5" bestFit="1" customWidth="1"/>
    <col min="18" max="16384" width="9.42578125" style="5"/>
  </cols>
  <sheetData>
    <row r="1" spans="1:17">
      <c r="L1" s="106" t="s">
        <v>313</v>
      </c>
      <c r="M1" s="105"/>
      <c r="N1" s="105"/>
      <c r="O1" s="105"/>
      <c r="P1" s="105"/>
      <c r="Q1" s="105"/>
    </row>
    <row r="2" spans="1:17" ht="51">
      <c r="A2" s="44" t="s">
        <v>0</v>
      </c>
      <c r="B2" s="45" t="s">
        <v>1</v>
      </c>
      <c r="C2" s="44" t="s">
        <v>786</v>
      </c>
      <c r="D2" s="44"/>
      <c r="E2" s="44" t="s">
        <v>460</v>
      </c>
      <c r="F2" s="44"/>
      <c r="G2" s="44" t="s">
        <v>367</v>
      </c>
      <c r="H2" s="44" t="s">
        <v>370</v>
      </c>
      <c r="I2" s="44" t="s">
        <v>371</v>
      </c>
      <c r="L2" s="5">
        <v>2026</v>
      </c>
      <c r="M2" s="5">
        <v>2027</v>
      </c>
      <c r="N2" s="5">
        <v>2028</v>
      </c>
      <c r="O2" s="5">
        <v>2029</v>
      </c>
      <c r="P2" s="5">
        <v>2030</v>
      </c>
      <c r="Q2" s="105" t="s">
        <v>372</v>
      </c>
    </row>
    <row r="3" spans="1:17">
      <c r="A3" s="16"/>
      <c r="B3" s="17"/>
      <c r="C3" s="17" t="s">
        <v>4</v>
      </c>
    </row>
    <row r="4" spans="1:17">
      <c r="A4" s="16"/>
      <c r="B4" s="17"/>
      <c r="C4" s="17"/>
      <c r="E4" s="82"/>
      <c r="F4" s="82"/>
      <c r="G4" s="83"/>
      <c r="H4" s="84"/>
      <c r="I4" s="84"/>
      <c r="J4" s="84"/>
      <c r="K4" s="85"/>
    </row>
    <row r="5" spans="1:17">
      <c r="A5" s="183">
        <v>1341</v>
      </c>
      <c r="B5" s="184" t="s">
        <v>5</v>
      </c>
      <c r="C5" s="140">
        <f>VLOOKUP(A5,'Contribution Allocation_Report'!$A$9:$D$314,4,FALSE)</f>
        <v>0.25089231417998115</v>
      </c>
      <c r="E5" s="144">
        <v>0.24088926914915942</v>
      </c>
      <c r="F5" s="92"/>
      <c r="G5" s="101">
        <f t="shared" ref="G5:G68" si="0">ROUND((E5-C5)*$G$318,0)</f>
        <v>27348074</v>
      </c>
      <c r="H5" s="86">
        <f>ROUND(G5/5.77,0)</f>
        <v>4739701</v>
      </c>
      <c r="I5" s="86">
        <f>G5-H5</f>
        <v>22608373</v>
      </c>
      <c r="J5" s="98"/>
      <c r="K5" s="87"/>
      <c r="L5" s="107">
        <f>+H5</f>
        <v>4739701</v>
      </c>
      <c r="M5" s="107">
        <f>+L5</f>
        <v>4739701</v>
      </c>
      <c r="N5" s="107">
        <f t="shared" ref="N5:O5" si="1">+M5</f>
        <v>4739701</v>
      </c>
      <c r="O5" s="107">
        <f t="shared" si="1"/>
        <v>4739701</v>
      </c>
      <c r="P5" s="108">
        <f>I5-SUM(L5:O5)</f>
        <v>3649569</v>
      </c>
      <c r="Q5" s="108">
        <f>+I5-SUM(L5:P5)</f>
        <v>0</v>
      </c>
    </row>
    <row r="6" spans="1:17">
      <c r="A6" s="10">
        <v>2308</v>
      </c>
      <c r="B6" s="11" t="s">
        <v>6</v>
      </c>
      <c r="C6" s="137">
        <f>VLOOKUP(A6,'Contribution Allocation_Report'!$A$9:$D$314,4,FALSE)</f>
        <v>4.1015124251485226E-4</v>
      </c>
      <c r="E6" s="144">
        <v>4.5789627714183558E-4</v>
      </c>
      <c r="F6" s="92"/>
      <c r="G6" s="101">
        <f t="shared" si="0"/>
        <v>-130534</v>
      </c>
      <c r="H6" s="86">
        <f t="shared" ref="H6:H69" si="2">ROUND(G6/5.77,0)</f>
        <v>-22623</v>
      </c>
      <c r="I6" s="86">
        <f>G6-H6</f>
        <v>-107911</v>
      </c>
      <c r="J6" s="98"/>
      <c r="K6" s="87"/>
      <c r="L6" s="107">
        <f t="shared" ref="L6:L69" si="3">+H6</f>
        <v>-22623</v>
      </c>
      <c r="M6" s="107">
        <f t="shared" ref="M6:M69" si="4">+L6</f>
        <v>-22623</v>
      </c>
      <c r="N6" s="107">
        <f t="shared" ref="N6:N69" si="5">+M6</f>
        <v>-22623</v>
      </c>
      <c r="O6" s="107">
        <f t="shared" ref="O6:O69" si="6">+N6</f>
        <v>-22623</v>
      </c>
      <c r="P6" s="108">
        <f t="shared" ref="P6:P69" si="7">I6-SUM(L6:O6)</f>
        <v>-17419</v>
      </c>
      <c r="Q6" s="108">
        <f t="shared" ref="Q6:Q70" si="8">+I6-SUM(L6:P6)</f>
        <v>0</v>
      </c>
    </row>
    <row r="7" spans="1:17">
      <c r="A7" s="12">
        <v>2340</v>
      </c>
      <c r="B7" s="13" t="s">
        <v>7</v>
      </c>
      <c r="C7" s="138">
        <f>VLOOKUP(A7,'Contribution Allocation_Report'!$A$9:$D$314,4,FALSE)</f>
        <v>4.4607689879352545E-4</v>
      </c>
      <c r="E7" s="144">
        <v>4.437553396074132E-4</v>
      </c>
      <c r="F7" s="92"/>
      <c r="G7" s="101">
        <f t="shared" si="0"/>
        <v>6347</v>
      </c>
      <c r="H7" s="86">
        <f t="shared" si="2"/>
        <v>1100</v>
      </c>
      <c r="I7" s="86">
        <f t="shared" ref="I7:I71" si="9">G7-H7</f>
        <v>5247</v>
      </c>
      <c r="J7" s="86"/>
      <c r="K7" s="87"/>
      <c r="L7" s="107">
        <f t="shared" si="3"/>
        <v>1100</v>
      </c>
      <c r="M7" s="107">
        <f t="shared" si="4"/>
        <v>1100</v>
      </c>
      <c r="N7" s="107">
        <f t="shared" si="5"/>
        <v>1100</v>
      </c>
      <c r="O7" s="107">
        <f t="shared" si="6"/>
        <v>1100</v>
      </c>
      <c r="P7" s="108">
        <f t="shared" si="7"/>
        <v>847</v>
      </c>
      <c r="Q7" s="108">
        <f t="shared" si="8"/>
        <v>0</v>
      </c>
    </row>
    <row r="8" spans="1:17">
      <c r="A8" s="10">
        <v>1301</v>
      </c>
      <c r="B8" s="11" t="s">
        <v>8</v>
      </c>
      <c r="C8" s="137">
        <f>VLOOKUP(A8,'Contribution Allocation_Report'!$A$9:$D$314,4,FALSE)</f>
        <v>4.9491425953524393E-4</v>
      </c>
      <c r="E8" s="144">
        <v>5.1237147126389148E-4</v>
      </c>
      <c r="F8" s="92"/>
      <c r="G8" s="101">
        <f t="shared" si="0"/>
        <v>-47728</v>
      </c>
      <c r="H8" s="86">
        <f t="shared" si="2"/>
        <v>-8272</v>
      </c>
      <c r="I8" s="86">
        <f t="shared" si="9"/>
        <v>-39456</v>
      </c>
      <c r="J8" s="86"/>
      <c r="K8" s="87"/>
      <c r="L8" s="107">
        <f t="shared" si="3"/>
        <v>-8272</v>
      </c>
      <c r="M8" s="107">
        <f t="shared" si="4"/>
        <v>-8272</v>
      </c>
      <c r="N8" s="107">
        <f t="shared" si="5"/>
        <v>-8272</v>
      </c>
      <c r="O8" s="107">
        <f t="shared" si="6"/>
        <v>-8272</v>
      </c>
      <c r="P8" s="108">
        <f t="shared" si="7"/>
        <v>-6368</v>
      </c>
      <c r="Q8" s="108">
        <f t="shared" si="8"/>
        <v>0</v>
      </c>
    </row>
    <row r="9" spans="1:17">
      <c r="A9" s="12">
        <v>2390</v>
      </c>
      <c r="B9" s="13" t="s">
        <v>9</v>
      </c>
      <c r="C9" s="138">
        <f>VLOOKUP(A9,'Contribution Allocation_Report'!$A$9:$D$314,4,FALSE)</f>
        <v>3.7145299864160168E-4</v>
      </c>
      <c r="E9" s="144">
        <v>4.0823418391295067E-4</v>
      </c>
      <c r="F9" s="92"/>
      <c r="G9" s="101">
        <f t="shared" si="0"/>
        <v>-100559</v>
      </c>
      <c r="H9" s="86">
        <f t="shared" si="2"/>
        <v>-17428</v>
      </c>
      <c r="I9" s="86">
        <f t="shared" si="9"/>
        <v>-83131</v>
      </c>
      <c r="J9" s="86"/>
      <c r="K9" s="87"/>
      <c r="L9" s="107">
        <f t="shared" si="3"/>
        <v>-17428</v>
      </c>
      <c r="M9" s="107">
        <f t="shared" si="4"/>
        <v>-17428</v>
      </c>
      <c r="N9" s="107">
        <f t="shared" si="5"/>
        <v>-17428</v>
      </c>
      <c r="O9" s="107">
        <f t="shared" si="6"/>
        <v>-17428</v>
      </c>
      <c r="P9" s="108">
        <f t="shared" si="7"/>
        <v>-13419</v>
      </c>
      <c r="Q9" s="108">
        <f t="shared" si="8"/>
        <v>0</v>
      </c>
    </row>
    <row r="10" spans="1:17">
      <c r="A10" s="10">
        <v>2441</v>
      </c>
      <c r="B10" s="11" t="s">
        <v>408</v>
      </c>
      <c r="C10" s="137">
        <f>VLOOKUP(A10,'Contribution Allocation_Report'!$A$9:$D$314,4,FALSE)</f>
        <v>2.1531059886719593E-4</v>
      </c>
      <c r="E10" s="144">
        <v>1.8818203769433749E-4</v>
      </c>
      <c r="F10" s="92"/>
      <c r="G10" s="101">
        <f t="shared" si="0"/>
        <v>74169</v>
      </c>
      <c r="H10" s="86">
        <f t="shared" si="2"/>
        <v>12854</v>
      </c>
      <c r="I10" s="86">
        <f t="shared" ref="I10" si="10">G10-H10</f>
        <v>61315</v>
      </c>
      <c r="J10" s="86"/>
      <c r="K10" s="87"/>
      <c r="L10" s="107">
        <f t="shared" si="3"/>
        <v>12854</v>
      </c>
      <c r="M10" s="107">
        <f t="shared" si="4"/>
        <v>12854</v>
      </c>
      <c r="N10" s="107">
        <f t="shared" si="5"/>
        <v>12854</v>
      </c>
      <c r="O10" s="107">
        <f t="shared" si="6"/>
        <v>12854</v>
      </c>
      <c r="P10" s="108">
        <f t="shared" si="7"/>
        <v>9899</v>
      </c>
      <c r="Q10" s="108">
        <f>+I10-SUM(L10:P10)</f>
        <v>0</v>
      </c>
    </row>
    <row r="11" spans="1:17">
      <c r="A11" s="12">
        <v>15046</v>
      </c>
      <c r="B11" s="13" t="s">
        <v>10</v>
      </c>
      <c r="C11" s="138">
        <f>VLOOKUP(A11,'Contribution Allocation_Report'!$A$9:$D$314,4,FALSE)</f>
        <v>7.4855440711683709E-3</v>
      </c>
      <c r="E11" s="144">
        <v>7.5496196350835669E-3</v>
      </c>
      <c r="F11" s="92"/>
      <c r="G11" s="101">
        <f t="shared" si="0"/>
        <v>-175181</v>
      </c>
      <c r="H11" s="86">
        <f t="shared" si="2"/>
        <v>-30361</v>
      </c>
      <c r="I11" s="86">
        <f t="shared" si="9"/>
        <v>-144820</v>
      </c>
      <c r="J11" s="86"/>
      <c r="K11" s="87"/>
      <c r="L11" s="107">
        <f t="shared" si="3"/>
        <v>-30361</v>
      </c>
      <c r="M11" s="107">
        <f t="shared" si="4"/>
        <v>-30361</v>
      </c>
      <c r="N11" s="107">
        <f t="shared" si="5"/>
        <v>-30361</v>
      </c>
      <c r="O11" s="107">
        <f t="shared" si="6"/>
        <v>-30361</v>
      </c>
      <c r="P11" s="108">
        <f t="shared" si="7"/>
        <v>-23376</v>
      </c>
      <c r="Q11" s="108">
        <f t="shared" si="8"/>
        <v>0</v>
      </c>
    </row>
    <row r="12" spans="1:17">
      <c r="A12" s="10">
        <v>4380</v>
      </c>
      <c r="B12" s="11" t="s">
        <v>11</v>
      </c>
      <c r="C12" s="137">
        <f>VLOOKUP(A12,'Contribution Allocation_Report'!$A$9:$D$314,4,FALSE)</f>
        <v>6.005977772592941E-3</v>
      </c>
      <c r="E12" s="144">
        <v>6.186342176878851E-3</v>
      </c>
      <c r="F12" s="92"/>
      <c r="G12" s="101">
        <f t="shared" si="0"/>
        <v>-493112</v>
      </c>
      <c r="H12" s="86">
        <f t="shared" si="2"/>
        <v>-85461</v>
      </c>
      <c r="I12" s="86">
        <f t="shared" si="9"/>
        <v>-407651</v>
      </c>
      <c r="J12" s="86"/>
      <c r="K12" s="87"/>
      <c r="L12" s="107">
        <f t="shared" si="3"/>
        <v>-85461</v>
      </c>
      <c r="M12" s="107">
        <f t="shared" si="4"/>
        <v>-85461</v>
      </c>
      <c r="N12" s="107">
        <f t="shared" si="5"/>
        <v>-85461</v>
      </c>
      <c r="O12" s="107">
        <f t="shared" si="6"/>
        <v>-85461</v>
      </c>
      <c r="P12" s="108">
        <f t="shared" si="7"/>
        <v>-65807</v>
      </c>
      <c r="Q12" s="108">
        <f t="shared" si="8"/>
        <v>0</v>
      </c>
    </row>
    <row r="13" spans="1:17">
      <c r="A13" s="12">
        <v>2343</v>
      </c>
      <c r="B13" s="13" t="s">
        <v>409</v>
      </c>
      <c r="C13" s="138">
        <f>VLOOKUP(A13,'Contribution Allocation_Report'!$A$9:$D$314,4,FALSE)</f>
        <v>4.3992706354385112E-4</v>
      </c>
      <c r="E13" s="144">
        <v>5.9648688703638859E-4</v>
      </c>
      <c r="F13" s="92"/>
      <c r="G13" s="101">
        <f t="shared" si="0"/>
        <v>-428031</v>
      </c>
      <c r="H13" s="86">
        <f t="shared" si="2"/>
        <v>-74182</v>
      </c>
      <c r="I13" s="86">
        <f t="shared" si="9"/>
        <v>-353849</v>
      </c>
      <c r="J13" s="86"/>
      <c r="K13" s="87"/>
      <c r="L13" s="107">
        <f t="shared" si="3"/>
        <v>-74182</v>
      </c>
      <c r="M13" s="107">
        <f t="shared" si="4"/>
        <v>-74182</v>
      </c>
      <c r="N13" s="107">
        <f t="shared" si="5"/>
        <v>-74182</v>
      </c>
      <c r="O13" s="107">
        <f t="shared" si="6"/>
        <v>-74182</v>
      </c>
      <c r="P13" s="108">
        <f t="shared" si="7"/>
        <v>-57121</v>
      </c>
      <c r="Q13" s="108">
        <f t="shared" si="8"/>
        <v>0</v>
      </c>
    </row>
    <row r="14" spans="1:17">
      <c r="A14" s="10">
        <v>2435</v>
      </c>
      <c r="B14" s="11" t="s">
        <v>391</v>
      </c>
      <c r="C14" s="137">
        <f>VLOOKUP(A14,'Contribution Allocation_Report'!$A$9:$D$314,4,FALSE)</f>
        <v>2.7245834848946959E-4</v>
      </c>
      <c r="E14" s="144">
        <v>2.3672133577196065E-4</v>
      </c>
      <c r="F14" s="92"/>
      <c r="G14" s="101">
        <f t="shared" si="0"/>
        <v>97704</v>
      </c>
      <c r="H14" s="86">
        <f t="shared" si="2"/>
        <v>16933</v>
      </c>
      <c r="I14" s="86">
        <f t="shared" si="9"/>
        <v>80771</v>
      </c>
      <c r="J14" s="86"/>
      <c r="K14" s="87"/>
      <c r="L14" s="107">
        <f t="shared" si="3"/>
        <v>16933</v>
      </c>
      <c r="M14" s="107">
        <f t="shared" si="4"/>
        <v>16933</v>
      </c>
      <c r="N14" s="107">
        <f t="shared" si="5"/>
        <v>16933</v>
      </c>
      <c r="O14" s="107">
        <f t="shared" si="6"/>
        <v>16933</v>
      </c>
      <c r="P14" s="108">
        <f t="shared" si="7"/>
        <v>13039</v>
      </c>
      <c r="Q14" s="108">
        <f t="shared" si="8"/>
        <v>0</v>
      </c>
    </row>
    <row r="15" spans="1:17">
      <c r="A15" s="12">
        <v>4560</v>
      </c>
      <c r="B15" s="13" t="s">
        <v>12</v>
      </c>
      <c r="C15" s="138">
        <f>VLOOKUP(A15,'Contribution Allocation_Report'!$A$9:$D$314,4,FALSE)</f>
        <v>5.2766176354460104E-4</v>
      </c>
      <c r="E15" s="144">
        <v>6.0185745964801813E-4</v>
      </c>
      <c r="F15" s="92"/>
      <c r="G15" s="101">
        <f t="shared" si="0"/>
        <v>-202849</v>
      </c>
      <c r="H15" s="86">
        <f t="shared" si="2"/>
        <v>-35156</v>
      </c>
      <c r="I15" s="86">
        <f t="shared" si="9"/>
        <v>-167693</v>
      </c>
      <c r="J15" s="86"/>
      <c r="K15" s="87"/>
      <c r="L15" s="107">
        <f t="shared" si="3"/>
        <v>-35156</v>
      </c>
      <c r="M15" s="107">
        <f t="shared" si="4"/>
        <v>-35156</v>
      </c>
      <c r="N15" s="107">
        <f t="shared" si="5"/>
        <v>-35156</v>
      </c>
      <c r="O15" s="107">
        <f t="shared" si="6"/>
        <v>-35156</v>
      </c>
      <c r="P15" s="108">
        <f t="shared" si="7"/>
        <v>-27069</v>
      </c>
      <c r="Q15" s="108">
        <f t="shared" si="8"/>
        <v>0</v>
      </c>
    </row>
    <row r="16" spans="1:17">
      <c r="A16" s="10">
        <v>2341</v>
      </c>
      <c r="B16" s="11" t="s">
        <v>406</v>
      </c>
      <c r="C16" s="137">
        <f>VLOOKUP(A16,'Contribution Allocation_Report'!$A$9:$D$314,4,FALSE)</f>
        <v>3.3321931066850632E-4</v>
      </c>
      <c r="E16" s="144">
        <v>3.4092928855200186E-4</v>
      </c>
      <c r="F16" s="92"/>
      <c r="G16" s="101">
        <f t="shared" si="0"/>
        <v>-21079</v>
      </c>
      <c r="H16" s="86">
        <f t="shared" si="2"/>
        <v>-3653</v>
      </c>
      <c r="I16" s="86">
        <f t="shared" si="9"/>
        <v>-17426</v>
      </c>
      <c r="J16" s="86"/>
      <c r="K16" s="87"/>
      <c r="L16" s="107">
        <f t="shared" si="3"/>
        <v>-3653</v>
      </c>
      <c r="M16" s="107">
        <f t="shared" si="4"/>
        <v>-3653</v>
      </c>
      <c r="N16" s="107">
        <f t="shared" si="5"/>
        <v>-3653</v>
      </c>
      <c r="O16" s="107">
        <f t="shared" si="6"/>
        <v>-3653</v>
      </c>
      <c r="P16" s="108">
        <f t="shared" si="7"/>
        <v>-2814</v>
      </c>
      <c r="Q16" s="108">
        <f t="shared" si="8"/>
        <v>0</v>
      </c>
    </row>
    <row r="17" spans="1:17">
      <c r="A17" s="12">
        <v>4580</v>
      </c>
      <c r="B17" s="13" t="s">
        <v>392</v>
      </c>
      <c r="C17" s="138">
        <f>VLOOKUP(A17,'Contribution Allocation_Report'!$A$9:$D$314,4,FALSE)</f>
        <v>3.3614675022980217E-4</v>
      </c>
      <c r="E17" s="144">
        <v>3.4952691575921592E-4</v>
      </c>
      <c r="F17" s="92"/>
      <c r="G17" s="101">
        <f t="shared" si="0"/>
        <v>-36581</v>
      </c>
      <c r="H17" s="86">
        <f t="shared" si="2"/>
        <v>-6340</v>
      </c>
      <c r="I17" s="86">
        <f t="shared" si="9"/>
        <v>-30241</v>
      </c>
      <c r="J17" s="86"/>
      <c r="K17" s="87"/>
      <c r="L17" s="107">
        <f t="shared" si="3"/>
        <v>-6340</v>
      </c>
      <c r="M17" s="107">
        <f t="shared" si="4"/>
        <v>-6340</v>
      </c>
      <c r="N17" s="107">
        <f t="shared" si="5"/>
        <v>-6340</v>
      </c>
      <c r="O17" s="107">
        <f t="shared" si="6"/>
        <v>-6340</v>
      </c>
      <c r="P17" s="108">
        <f t="shared" si="7"/>
        <v>-4881</v>
      </c>
      <c r="Q17" s="108">
        <f t="shared" si="8"/>
        <v>0</v>
      </c>
    </row>
    <row r="18" spans="1:17">
      <c r="A18" s="10">
        <v>2003</v>
      </c>
      <c r="B18" s="11" t="s">
        <v>13</v>
      </c>
      <c r="C18" s="137">
        <f>VLOOKUP(A18,'Contribution Allocation_Report'!$A$9:$D$314,4,FALSE)</f>
        <v>0.10553767666701405</v>
      </c>
      <c r="E18" s="144">
        <v>0.11060810499023478</v>
      </c>
      <c r="F18" s="92"/>
      <c r="G18" s="101">
        <f t="shared" si="0"/>
        <v>-13862424</v>
      </c>
      <c r="H18" s="86">
        <f t="shared" si="2"/>
        <v>-2402500</v>
      </c>
      <c r="I18" s="86">
        <f t="shared" si="9"/>
        <v>-11459924</v>
      </c>
      <c r="J18" s="86"/>
      <c r="K18" s="87"/>
      <c r="L18" s="107">
        <f t="shared" si="3"/>
        <v>-2402500</v>
      </c>
      <c r="M18" s="107">
        <f t="shared" si="4"/>
        <v>-2402500</v>
      </c>
      <c r="N18" s="107">
        <f t="shared" si="5"/>
        <v>-2402500</v>
      </c>
      <c r="O18" s="107">
        <f t="shared" si="6"/>
        <v>-2402500</v>
      </c>
      <c r="P18" s="108">
        <f t="shared" si="7"/>
        <v>-1849924</v>
      </c>
      <c r="Q18" s="108">
        <f t="shared" si="8"/>
        <v>0</v>
      </c>
    </row>
    <row r="19" spans="1:17">
      <c r="A19" s="12">
        <v>2412</v>
      </c>
      <c r="B19" s="13" t="s">
        <v>14</v>
      </c>
      <c r="C19" s="138">
        <f>VLOOKUP(A19,'Contribution Allocation_Report'!$A$9:$D$314,4,FALSE)</f>
        <v>1.1072874227779973E-3</v>
      </c>
      <c r="E19" s="144">
        <v>1.0680922574236996E-3</v>
      </c>
      <c r="F19" s="92"/>
      <c r="G19" s="101">
        <f t="shared" si="0"/>
        <v>107159</v>
      </c>
      <c r="H19" s="86">
        <f t="shared" si="2"/>
        <v>18572</v>
      </c>
      <c r="I19" s="86">
        <f t="shared" si="9"/>
        <v>88587</v>
      </c>
      <c r="J19" s="86"/>
      <c r="K19" s="87"/>
      <c r="L19" s="107">
        <f t="shared" si="3"/>
        <v>18572</v>
      </c>
      <c r="M19" s="107">
        <f t="shared" si="4"/>
        <v>18572</v>
      </c>
      <c r="N19" s="107">
        <f t="shared" si="5"/>
        <v>18572</v>
      </c>
      <c r="O19" s="107">
        <f t="shared" si="6"/>
        <v>18572</v>
      </c>
      <c r="P19" s="108">
        <f t="shared" si="7"/>
        <v>14299</v>
      </c>
      <c r="Q19" s="108">
        <f t="shared" si="8"/>
        <v>0</v>
      </c>
    </row>
    <row r="20" spans="1:17">
      <c r="A20" s="10">
        <v>2402</v>
      </c>
      <c r="B20" s="11" t="s">
        <v>15</v>
      </c>
      <c r="C20" s="137">
        <f>VLOOKUP(A20,'Contribution Allocation_Report'!$A$9:$D$314,4,FALSE)</f>
        <v>5.7013544584451023E-4</v>
      </c>
      <c r="E20" s="144">
        <v>5.3024982482629006E-4</v>
      </c>
      <c r="F20" s="92"/>
      <c r="G20" s="101">
        <f t="shared" si="0"/>
        <v>109046</v>
      </c>
      <c r="H20" s="86">
        <f t="shared" si="2"/>
        <v>18899</v>
      </c>
      <c r="I20" s="86">
        <f t="shared" si="9"/>
        <v>90147</v>
      </c>
      <c r="J20" s="86"/>
      <c r="K20" s="87"/>
      <c r="L20" s="107">
        <f t="shared" si="3"/>
        <v>18899</v>
      </c>
      <c r="M20" s="107">
        <f t="shared" si="4"/>
        <v>18899</v>
      </c>
      <c r="N20" s="107">
        <f t="shared" si="5"/>
        <v>18899</v>
      </c>
      <c r="O20" s="107">
        <f t="shared" si="6"/>
        <v>18899</v>
      </c>
      <c r="P20" s="108">
        <f t="shared" si="7"/>
        <v>14551</v>
      </c>
      <c r="Q20" s="108">
        <f t="shared" si="8"/>
        <v>0</v>
      </c>
    </row>
    <row r="21" spans="1:17">
      <c r="A21" s="12">
        <v>2361</v>
      </c>
      <c r="B21" s="13" t="s">
        <v>16</v>
      </c>
      <c r="C21" s="138">
        <f>VLOOKUP(A21,'Contribution Allocation_Report'!$A$9:$D$314,4,FALSE)</f>
        <v>1.669082984129244E-4</v>
      </c>
      <c r="E21" s="144">
        <v>1.7850872562192861E-4</v>
      </c>
      <c r="F21" s="92"/>
      <c r="G21" s="101">
        <f t="shared" si="0"/>
        <v>-31715</v>
      </c>
      <c r="H21" s="86">
        <f t="shared" si="2"/>
        <v>-5497</v>
      </c>
      <c r="I21" s="86">
        <f t="shared" si="9"/>
        <v>-26218</v>
      </c>
      <c r="J21" s="86"/>
      <c r="K21" s="87"/>
      <c r="L21" s="107">
        <f t="shared" si="3"/>
        <v>-5497</v>
      </c>
      <c r="M21" s="107">
        <f t="shared" si="4"/>
        <v>-5497</v>
      </c>
      <c r="N21" s="107">
        <f t="shared" si="5"/>
        <v>-5497</v>
      </c>
      <c r="O21" s="107">
        <f t="shared" si="6"/>
        <v>-5497</v>
      </c>
      <c r="P21" s="108">
        <f t="shared" si="7"/>
        <v>-4230</v>
      </c>
      <c r="Q21" s="108">
        <f t="shared" si="8"/>
        <v>0</v>
      </c>
    </row>
    <row r="22" spans="1:17">
      <c r="A22" s="10">
        <v>8347</v>
      </c>
      <c r="B22" s="11" t="s">
        <v>17</v>
      </c>
      <c r="C22" s="137">
        <f>VLOOKUP(A22,'Contribution Allocation_Report'!$A$9:$D$314,4,FALSE)</f>
        <v>2.6121314614444154E-4</v>
      </c>
      <c r="E22" s="144">
        <v>3.371683173809922E-4</v>
      </c>
      <c r="F22" s="92"/>
      <c r="G22" s="101">
        <f t="shared" si="0"/>
        <v>-207660</v>
      </c>
      <c r="H22" s="86">
        <f t="shared" si="2"/>
        <v>-35990</v>
      </c>
      <c r="I22" s="86">
        <f t="shared" si="9"/>
        <v>-171670</v>
      </c>
      <c r="J22" s="86"/>
      <c r="K22" s="87"/>
      <c r="L22" s="107">
        <f t="shared" si="3"/>
        <v>-35990</v>
      </c>
      <c r="M22" s="107">
        <f t="shared" si="4"/>
        <v>-35990</v>
      </c>
      <c r="N22" s="107">
        <f t="shared" si="5"/>
        <v>-35990</v>
      </c>
      <c r="O22" s="107">
        <f t="shared" si="6"/>
        <v>-35990</v>
      </c>
      <c r="P22" s="108">
        <f t="shared" si="7"/>
        <v>-27710</v>
      </c>
      <c r="Q22" s="108">
        <f t="shared" si="8"/>
        <v>0</v>
      </c>
    </row>
    <row r="23" spans="1:17">
      <c r="A23" s="12">
        <v>2356</v>
      </c>
      <c r="B23" s="13" t="s">
        <v>18</v>
      </c>
      <c r="C23" s="138">
        <f>VLOOKUP(A23,'Contribution Allocation_Report'!$A$9:$D$314,4,FALSE)</f>
        <v>5.7544465613199893E-4</v>
      </c>
      <c r="E23" s="144">
        <v>6.0719662540226985E-4</v>
      </c>
      <c r="F23" s="92"/>
      <c r="G23" s="101">
        <f t="shared" si="0"/>
        <v>-86809</v>
      </c>
      <c r="H23" s="86">
        <f t="shared" si="2"/>
        <v>-15045</v>
      </c>
      <c r="I23" s="86">
        <f t="shared" si="9"/>
        <v>-71764</v>
      </c>
      <c r="J23" s="86"/>
      <c r="K23" s="87"/>
      <c r="L23" s="107">
        <f t="shared" si="3"/>
        <v>-15045</v>
      </c>
      <c r="M23" s="107">
        <f t="shared" si="4"/>
        <v>-15045</v>
      </c>
      <c r="N23" s="107">
        <f t="shared" si="5"/>
        <v>-15045</v>
      </c>
      <c r="O23" s="107">
        <f t="shared" si="6"/>
        <v>-15045</v>
      </c>
      <c r="P23" s="108">
        <f t="shared" si="7"/>
        <v>-11584</v>
      </c>
      <c r="Q23" s="108">
        <f t="shared" si="8"/>
        <v>0</v>
      </c>
    </row>
    <row r="24" spans="1:17">
      <c r="A24" s="10">
        <v>7335</v>
      </c>
      <c r="B24" s="11" t="s">
        <v>19</v>
      </c>
      <c r="C24" s="137">
        <f>VLOOKUP(A24,'Contribution Allocation_Report'!$A$9:$D$314,4,FALSE)</f>
        <v>1.3734632057606051E-4</v>
      </c>
      <c r="E24" s="144">
        <v>1.6761054611177963E-4</v>
      </c>
      <c r="F24" s="92"/>
      <c r="G24" s="101">
        <f t="shared" si="0"/>
        <v>-82742</v>
      </c>
      <c r="H24" s="86">
        <f t="shared" si="2"/>
        <v>-14340</v>
      </c>
      <c r="I24" s="86">
        <f t="shared" si="9"/>
        <v>-68402</v>
      </c>
      <c r="J24" s="86"/>
      <c r="K24" s="87"/>
      <c r="L24" s="107">
        <f t="shared" si="3"/>
        <v>-14340</v>
      </c>
      <c r="M24" s="107">
        <f t="shared" si="4"/>
        <v>-14340</v>
      </c>
      <c r="N24" s="107">
        <f t="shared" si="5"/>
        <v>-14340</v>
      </c>
      <c r="O24" s="107">
        <f t="shared" si="6"/>
        <v>-14340</v>
      </c>
      <c r="P24" s="108">
        <f t="shared" si="7"/>
        <v>-11042</v>
      </c>
      <c r="Q24" s="108">
        <f t="shared" si="8"/>
        <v>0</v>
      </c>
    </row>
    <row r="25" spans="1:17">
      <c r="A25" s="12">
        <v>2434</v>
      </c>
      <c r="B25" s="13" t="s">
        <v>474</v>
      </c>
      <c r="C25" s="138">
        <f>VLOOKUP(A25,'Contribution Allocation_Report'!$A$9:$D$314,4,FALSE)</f>
        <v>2.3271301036507539E-4</v>
      </c>
      <c r="E25" s="144">
        <v>2.1725693591197556E-4</v>
      </c>
      <c r="F25" s="92"/>
      <c r="G25" s="101">
        <f t="shared" si="0"/>
        <v>42257</v>
      </c>
      <c r="H25" s="86">
        <f t="shared" si="2"/>
        <v>7324</v>
      </c>
      <c r="I25" s="86">
        <f t="shared" si="9"/>
        <v>34933</v>
      </c>
      <c r="J25" s="86"/>
      <c r="K25" s="87"/>
      <c r="L25" s="107">
        <f t="shared" si="3"/>
        <v>7324</v>
      </c>
      <c r="M25" s="107">
        <f t="shared" si="4"/>
        <v>7324</v>
      </c>
      <c r="N25" s="107">
        <f t="shared" si="5"/>
        <v>7324</v>
      </c>
      <c r="O25" s="107">
        <f t="shared" si="6"/>
        <v>7324</v>
      </c>
      <c r="P25" s="108">
        <f t="shared" si="7"/>
        <v>5637</v>
      </c>
      <c r="Q25" s="108">
        <f t="shared" si="8"/>
        <v>0</v>
      </c>
    </row>
    <row r="26" spans="1:17">
      <c r="A26" s="10">
        <v>2303</v>
      </c>
      <c r="B26" s="11" t="s">
        <v>20</v>
      </c>
      <c r="C26" s="137">
        <f>VLOOKUP(A26,'Contribution Allocation_Report'!$A$9:$D$314,4,FALSE)</f>
        <v>3.3285798941283003E-4</v>
      </c>
      <c r="E26" s="144">
        <v>3.7541401795299198E-4</v>
      </c>
      <c r="F26" s="92"/>
      <c r="G26" s="101">
        <f t="shared" si="0"/>
        <v>-116347</v>
      </c>
      <c r="H26" s="86">
        <f t="shared" si="2"/>
        <v>-20164</v>
      </c>
      <c r="I26" s="86">
        <f t="shared" si="9"/>
        <v>-96183</v>
      </c>
      <c r="J26" s="86"/>
      <c r="K26" s="87"/>
      <c r="L26" s="107">
        <f t="shared" si="3"/>
        <v>-20164</v>
      </c>
      <c r="M26" s="107">
        <f t="shared" si="4"/>
        <v>-20164</v>
      </c>
      <c r="N26" s="107">
        <f t="shared" si="5"/>
        <v>-20164</v>
      </c>
      <c r="O26" s="107">
        <f t="shared" si="6"/>
        <v>-20164</v>
      </c>
      <c r="P26" s="108">
        <f t="shared" si="7"/>
        <v>-15527</v>
      </c>
      <c r="Q26" s="108">
        <f t="shared" si="8"/>
        <v>0</v>
      </c>
    </row>
    <row r="27" spans="1:17">
      <c r="A27" s="12">
        <v>20316</v>
      </c>
      <c r="B27" s="13" t="s">
        <v>21</v>
      </c>
      <c r="C27" s="138">
        <f>VLOOKUP(A27,'Contribution Allocation_Report'!$A$9:$D$314,4,FALSE)</f>
        <v>2.6064535559980735E-4</v>
      </c>
      <c r="E27" s="144">
        <v>2.6541149998671881E-4</v>
      </c>
      <c r="F27" s="92"/>
      <c r="G27" s="101">
        <f t="shared" si="0"/>
        <v>-13031</v>
      </c>
      <c r="H27" s="86">
        <f t="shared" si="2"/>
        <v>-2258</v>
      </c>
      <c r="I27" s="86">
        <f t="shared" si="9"/>
        <v>-10773</v>
      </c>
      <c r="J27" s="86"/>
      <c r="K27" s="87"/>
      <c r="L27" s="107">
        <f t="shared" si="3"/>
        <v>-2258</v>
      </c>
      <c r="M27" s="107">
        <f t="shared" si="4"/>
        <v>-2258</v>
      </c>
      <c r="N27" s="107">
        <f t="shared" si="5"/>
        <v>-2258</v>
      </c>
      <c r="O27" s="107">
        <f t="shared" si="6"/>
        <v>-2258</v>
      </c>
      <c r="P27" s="108">
        <f t="shared" si="7"/>
        <v>-1741</v>
      </c>
      <c r="Q27" s="108">
        <f t="shared" si="8"/>
        <v>0</v>
      </c>
    </row>
    <row r="28" spans="1:17">
      <c r="A28" s="10">
        <v>23121</v>
      </c>
      <c r="B28" s="11" t="s">
        <v>22</v>
      </c>
      <c r="C28" s="137">
        <f>VLOOKUP(A28,'Contribution Allocation_Report'!$A$9:$D$314,4,FALSE)</f>
        <v>3.3557895968516798E-4</v>
      </c>
      <c r="E28" s="144">
        <v>3.2415802671217605E-4</v>
      </c>
      <c r="F28" s="92"/>
      <c r="G28" s="101">
        <f t="shared" si="0"/>
        <v>31225</v>
      </c>
      <c r="H28" s="86">
        <f t="shared" si="2"/>
        <v>5412</v>
      </c>
      <c r="I28" s="86">
        <f t="shared" si="9"/>
        <v>25813</v>
      </c>
      <c r="J28" s="86"/>
      <c r="K28" s="87"/>
      <c r="L28" s="107">
        <f t="shared" si="3"/>
        <v>5412</v>
      </c>
      <c r="M28" s="107">
        <f t="shared" si="4"/>
        <v>5412</v>
      </c>
      <c r="N28" s="107">
        <f t="shared" si="5"/>
        <v>5412</v>
      </c>
      <c r="O28" s="107">
        <f t="shared" si="6"/>
        <v>5412</v>
      </c>
      <c r="P28" s="108">
        <f t="shared" si="7"/>
        <v>4165</v>
      </c>
      <c r="Q28" s="108">
        <f t="shared" si="8"/>
        <v>0</v>
      </c>
    </row>
    <row r="29" spans="1:17">
      <c r="A29" s="12">
        <v>3004</v>
      </c>
      <c r="B29" s="13" t="s">
        <v>23</v>
      </c>
      <c r="C29" s="138">
        <f>VLOOKUP(A29,'Contribution Allocation_Report'!$A$9:$D$314,4,FALSE)</f>
        <v>4.5741280014763141E-3</v>
      </c>
      <c r="E29" s="144">
        <v>4.7369000054577268E-3</v>
      </c>
      <c r="F29" s="92"/>
      <c r="G29" s="101">
        <f t="shared" si="0"/>
        <v>-445015</v>
      </c>
      <c r="H29" s="86">
        <f t="shared" si="2"/>
        <v>-77126</v>
      </c>
      <c r="I29" s="86">
        <f t="shared" si="9"/>
        <v>-367889</v>
      </c>
      <c r="J29" s="86"/>
      <c r="K29" s="87"/>
      <c r="L29" s="107">
        <f t="shared" si="3"/>
        <v>-77126</v>
      </c>
      <c r="M29" s="107">
        <f t="shared" si="4"/>
        <v>-77126</v>
      </c>
      <c r="N29" s="107">
        <f t="shared" si="5"/>
        <v>-77126</v>
      </c>
      <c r="O29" s="107">
        <f t="shared" si="6"/>
        <v>-77126</v>
      </c>
      <c r="P29" s="108">
        <f t="shared" si="7"/>
        <v>-59385</v>
      </c>
      <c r="Q29" s="108">
        <f t="shared" si="8"/>
        <v>0</v>
      </c>
    </row>
    <row r="30" spans="1:17">
      <c r="A30" s="10">
        <v>16050</v>
      </c>
      <c r="B30" s="11" t="s">
        <v>24</v>
      </c>
      <c r="C30" s="137">
        <f>VLOOKUP(A30,'Contribution Allocation_Report'!$A$9:$D$314,4,FALSE)</f>
        <v>3.0069154897382588E-3</v>
      </c>
      <c r="E30" s="144">
        <v>3.1064758183961599E-3</v>
      </c>
      <c r="F30" s="92"/>
      <c r="G30" s="101">
        <f t="shared" si="0"/>
        <v>-272195</v>
      </c>
      <c r="H30" s="86">
        <f t="shared" si="2"/>
        <v>-47174</v>
      </c>
      <c r="I30" s="86">
        <f t="shared" si="9"/>
        <v>-225021</v>
      </c>
      <c r="J30" s="86"/>
      <c r="K30" s="87"/>
      <c r="L30" s="107">
        <f t="shared" si="3"/>
        <v>-47174</v>
      </c>
      <c r="M30" s="107">
        <f t="shared" si="4"/>
        <v>-47174</v>
      </c>
      <c r="N30" s="107">
        <f t="shared" si="5"/>
        <v>-47174</v>
      </c>
      <c r="O30" s="107">
        <f t="shared" si="6"/>
        <v>-47174</v>
      </c>
      <c r="P30" s="108">
        <f t="shared" si="7"/>
        <v>-36325</v>
      </c>
      <c r="Q30" s="108">
        <f t="shared" si="8"/>
        <v>0</v>
      </c>
    </row>
    <row r="31" spans="1:17">
      <c r="A31" s="12">
        <v>14043</v>
      </c>
      <c r="B31" s="13" t="s">
        <v>25</v>
      </c>
      <c r="C31" s="138">
        <f>VLOOKUP(A31,'Contribution Allocation_Report'!$A$9:$D$314,4,FALSE)</f>
        <v>4.5866562629741526E-3</v>
      </c>
      <c r="E31" s="144">
        <v>4.7482064741137886E-3</v>
      </c>
      <c r="F31" s="92"/>
      <c r="G31" s="101">
        <f t="shared" si="0"/>
        <v>-441674</v>
      </c>
      <c r="H31" s="86">
        <f t="shared" si="2"/>
        <v>-76547</v>
      </c>
      <c r="I31" s="86">
        <f t="shared" si="9"/>
        <v>-365127</v>
      </c>
      <c r="J31" s="86"/>
      <c r="K31" s="87"/>
      <c r="L31" s="107">
        <f t="shared" si="3"/>
        <v>-76547</v>
      </c>
      <c r="M31" s="107">
        <f t="shared" si="4"/>
        <v>-76547</v>
      </c>
      <c r="N31" s="107">
        <f t="shared" si="5"/>
        <v>-76547</v>
      </c>
      <c r="O31" s="107">
        <f t="shared" si="6"/>
        <v>-76547</v>
      </c>
      <c r="P31" s="108">
        <f t="shared" si="7"/>
        <v>-58939</v>
      </c>
      <c r="Q31" s="108">
        <f t="shared" si="8"/>
        <v>0</v>
      </c>
    </row>
    <row r="32" spans="1:17">
      <c r="A32" s="10" t="s">
        <v>506</v>
      </c>
      <c r="B32" s="11" t="s">
        <v>26</v>
      </c>
      <c r="C32" s="137">
        <f>VLOOKUP(A32,'Contribution Allocation_Report'!$A$9:$D$314,4,FALSE)</f>
        <v>3.1149793034078662E-2</v>
      </c>
      <c r="E32" s="144">
        <v>2.9001029289085132E-2</v>
      </c>
      <c r="F32" s="92"/>
      <c r="G32" s="101">
        <f t="shared" si="0"/>
        <v>5874666</v>
      </c>
      <c r="H32" s="86">
        <f t="shared" si="2"/>
        <v>1018140</v>
      </c>
      <c r="I32" s="86">
        <f t="shared" si="9"/>
        <v>4856526</v>
      </c>
      <c r="J32" s="86"/>
      <c r="K32" s="87"/>
      <c r="L32" s="107">
        <f t="shared" si="3"/>
        <v>1018140</v>
      </c>
      <c r="M32" s="107">
        <f t="shared" si="4"/>
        <v>1018140</v>
      </c>
      <c r="N32" s="107">
        <f t="shared" si="5"/>
        <v>1018140</v>
      </c>
      <c r="O32" s="107">
        <f t="shared" si="6"/>
        <v>1018140</v>
      </c>
      <c r="P32" s="108">
        <f t="shared" si="7"/>
        <v>783966</v>
      </c>
      <c r="Q32" s="108">
        <f t="shared" si="8"/>
        <v>0</v>
      </c>
    </row>
    <row r="33" spans="1:17">
      <c r="A33" s="12">
        <v>29086</v>
      </c>
      <c r="B33" s="13" t="s">
        <v>27</v>
      </c>
      <c r="C33" s="138">
        <f>VLOOKUP(A33,'Contribution Allocation_Report'!$A$9:$D$314,4,FALSE)</f>
        <v>4.945249174474948E-3</v>
      </c>
      <c r="E33" s="144">
        <v>5.3844151840189407E-3</v>
      </c>
      <c r="F33" s="92"/>
      <c r="G33" s="101">
        <f t="shared" si="0"/>
        <v>-1200669</v>
      </c>
      <c r="H33" s="86">
        <f t="shared" si="2"/>
        <v>-208088</v>
      </c>
      <c r="I33" s="86">
        <f t="shared" si="9"/>
        <v>-992581</v>
      </c>
      <c r="J33" s="86"/>
      <c r="K33" s="87"/>
      <c r="L33" s="107">
        <f t="shared" si="3"/>
        <v>-208088</v>
      </c>
      <c r="M33" s="107">
        <f t="shared" si="4"/>
        <v>-208088</v>
      </c>
      <c r="N33" s="107">
        <f t="shared" si="5"/>
        <v>-208088</v>
      </c>
      <c r="O33" s="107">
        <f t="shared" si="6"/>
        <v>-208088</v>
      </c>
      <c r="P33" s="108">
        <f t="shared" si="7"/>
        <v>-160229</v>
      </c>
      <c r="Q33" s="108">
        <f t="shared" si="8"/>
        <v>0</v>
      </c>
    </row>
    <row r="34" spans="1:17">
      <c r="A34" s="10">
        <v>16051</v>
      </c>
      <c r="B34" s="11" t="s">
        <v>28</v>
      </c>
      <c r="C34" s="137">
        <f>VLOOKUP(A34,'Contribution Allocation_Report'!$A$9:$D$314,4,FALSE)</f>
        <v>3.5871310612258203E-3</v>
      </c>
      <c r="E34" s="144">
        <v>3.7341183079514758E-3</v>
      </c>
      <c r="F34" s="92"/>
      <c r="G34" s="101">
        <f t="shared" si="0"/>
        <v>-401859</v>
      </c>
      <c r="H34" s="86">
        <f t="shared" si="2"/>
        <v>-69646</v>
      </c>
      <c r="I34" s="86">
        <f t="shared" si="9"/>
        <v>-332213</v>
      </c>
      <c r="J34" s="86"/>
      <c r="K34" s="87"/>
      <c r="L34" s="107">
        <f t="shared" si="3"/>
        <v>-69646</v>
      </c>
      <c r="M34" s="107">
        <f t="shared" si="4"/>
        <v>-69646</v>
      </c>
      <c r="N34" s="107">
        <f t="shared" si="5"/>
        <v>-69646</v>
      </c>
      <c r="O34" s="107">
        <f t="shared" si="6"/>
        <v>-69646</v>
      </c>
      <c r="P34" s="108">
        <f t="shared" si="7"/>
        <v>-53629</v>
      </c>
      <c r="Q34" s="108">
        <f t="shared" si="8"/>
        <v>0</v>
      </c>
    </row>
    <row r="35" spans="1:17">
      <c r="A35" s="12">
        <v>26077</v>
      </c>
      <c r="B35" s="13" t="s">
        <v>29</v>
      </c>
      <c r="C35" s="138">
        <f>VLOOKUP(A35,'Contribution Allocation_Report'!$A$9:$D$314,4,FALSE)</f>
        <v>7.6125226838774749E-4</v>
      </c>
      <c r="E35" s="144">
        <v>7.6206383913294585E-4</v>
      </c>
      <c r="F35" s="92"/>
      <c r="G35" s="101">
        <f t="shared" si="0"/>
        <v>-2219</v>
      </c>
      <c r="H35" s="86">
        <f t="shared" si="2"/>
        <v>-385</v>
      </c>
      <c r="I35" s="86">
        <f t="shared" si="9"/>
        <v>-1834</v>
      </c>
      <c r="J35" s="86"/>
      <c r="K35" s="87"/>
      <c r="L35" s="107">
        <f t="shared" si="3"/>
        <v>-385</v>
      </c>
      <c r="M35" s="107">
        <f t="shared" si="4"/>
        <v>-385</v>
      </c>
      <c r="N35" s="107">
        <f t="shared" si="5"/>
        <v>-385</v>
      </c>
      <c r="O35" s="107">
        <f t="shared" si="6"/>
        <v>-385</v>
      </c>
      <c r="P35" s="108">
        <f t="shared" si="7"/>
        <v>-294</v>
      </c>
      <c r="Q35" s="108">
        <f t="shared" si="8"/>
        <v>0</v>
      </c>
    </row>
    <row r="36" spans="1:17">
      <c r="A36" s="10">
        <v>3005</v>
      </c>
      <c r="B36" s="11" t="s">
        <v>30</v>
      </c>
      <c r="C36" s="137">
        <f>VLOOKUP(A36,'Contribution Allocation_Report'!$A$9:$D$314,4,FALSE)</f>
        <v>8.8836434874435596E-3</v>
      </c>
      <c r="E36" s="144">
        <v>9.5797981545660375E-3</v>
      </c>
      <c r="F36" s="92"/>
      <c r="G36" s="101">
        <f t="shared" si="0"/>
        <v>-1903269</v>
      </c>
      <c r="H36" s="86">
        <f t="shared" si="2"/>
        <v>-329856</v>
      </c>
      <c r="I36" s="86">
        <f t="shared" si="9"/>
        <v>-1573413</v>
      </c>
      <c r="J36" s="86"/>
      <c r="K36" s="87"/>
      <c r="L36" s="107">
        <f t="shared" si="3"/>
        <v>-329856</v>
      </c>
      <c r="M36" s="107">
        <f t="shared" si="4"/>
        <v>-329856</v>
      </c>
      <c r="N36" s="107">
        <f t="shared" si="5"/>
        <v>-329856</v>
      </c>
      <c r="O36" s="107">
        <f t="shared" si="6"/>
        <v>-329856</v>
      </c>
      <c r="P36" s="108">
        <f t="shared" si="7"/>
        <v>-253989</v>
      </c>
      <c r="Q36" s="108">
        <f t="shared" si="8"/>
        <v>0</v>
      </c>
    </row>
    <row r="37" spans="1:17">
      <c r="A37" s="12">
        <v>26078</v>
      </c>
      <c r="B37" s="13" t="s">
        <v>31</v>
      </c>
      <c r="C37" s="138">
        <f>VLOOKUP(A37,'Contribution Allocation_Report'!$A$9:$D$314,4,FALSE)</f>
        <v>2.9664475091025118E-4</v>
      </c>
      <c r="E37" s="144">
        <v>3.0744172687276167E-4</v>
      </c>
      <c r="F37" s="92"/>
      <c r="G37" s="101">
        <f t="shared" si="0"/>
        <v>-29519</v>
      </c>
      <c r="H37" s="86">
        <f t="shared" si="2"/>
        <v>-5116</v>
      </c>
      <c r="I37" s="86">
        <f t="shared" si="9"/>
        <v>-24403</v>
      </c>
      <c r="J37" s="86"/>
      <c r="K37" s="87"/>
      <c r="L37" s="107">
        <f t="shared" si="3"/>
        <v>-5116</v>
      </c>
      <c r="M37" s="107">
        <f t="shared" si="4"/>
        <v>-5116</v>
      </c>
      <c r="N37" s="107">
        <f t="shared" si="5"/>
        <v>-5116</v>
      </c>
      <c r="O37" s="107">
        <f t="shared" si="6"/>
        <v>-5116</v>
      </c>
      <c r="P37" s="108">
        <f t="shared" si="7"/>
        <v>-3939</v>
      </c>
      <c r="Q37" s="108">
        <f t="shared" si="8"/>
        <v>0</v>
      </c>
    </row>
    <row r="38" spans="1:17">
      <c r="A38" s="10">
        <v>16053</v>
      </c>
      <c r="B38" s="11" t="s">
        <v>32</v>
      </c>
      <c r="C38" s="137">
        <f>VLOOKUP(A38,'Contribution Allocation_Report'!$A$9:$D$314,4,FALSE)</f>
        <v>8.712745907411841E-3</v>
      </c>
      <c r="E38" s="144">
        <v>9.3188150214696102E-3</v>
      </c>
      <c r="F38" s="92"/>
      <c r="G38" s="101">
        <f t="shared" si="0"/>
        <v>-1656978</v>
      </c>
      <c r="H38" s="86">
        <f t="shared" si="2"/>
        <v>-287171</v>
      </c>
      <c r="I38" s="86">
        <f t="shared" si="9"/>
        <v>-1369807</v>
      </c>
      <c r="J38" s="86"/>
      <c r="K38" s="87"/>
      <c r="L38" s="107">
        <f t="shared" si="3"/>
        <v>-287171</v>
      </c>
      <c r="M38" s="107">
        <f t="shared" si="4"/>
        <v>-287171</v>
      </c>
      <c r="N38" s="107">
        <f t="shared" si="5"/>
        <v>-287171</v>
      </c>
      <c r="O38" s="107">
        <f t="shared" si="6"/>
        <v>-287171</v>
      </c>
      <c r="P38" s="108">
        <f t="shared" si="7"/>
        <v>-221123</v>
      </c>
      <c r="Q38" s="108">
        <f t="shared" si="8"/>
        <v>0</v>
      </c>
    </row>
    <row r="39" spans="1:17">
      <c r="A39" s="12">
        <v>2123</v>
      </c>
      <c r="B39" s="13" t="s">
        <v>33</v>
      </c>
      <c r="C39" s="138">
        <f>VLOOKUP(A39,'Contribution Allocation_Report'!$A$9:$D$314,4,FALSE)</f>
        <v>1.5797046411103258E-2</v>
      </c>
      <c r="E39" s="144">
        <v>1.5762716983990691E-2</v>
      </c>
      <c r="F39" s="92"/>
      <c r="G39" s="101">
        <f t="shared" si="0"/>
        <v>93856</v>
      </c>
      <c r="H39" s="86">
        <f t="shared" si="2"/>
        <v>16266</v>
      </c>
      <c r="I39" s="86">
        <f t="shared" si="9"/>
        <v>77590</v>
      </c>
      <c r="J39" s="86"/>
      <c r="K39" s="87"/>
      <c r="L39" s="107">
        <f t="shared" si="3"/>
        <v>16266</v>
      </c>
      <c r="M39" s="107">
        <f t="shared" si="4"/>
        <v>16266</v>
      </c>
      <c r="N39" s="107">
        <f t="shared" si="5"/>
        <v>16266</v>
      </c>
      <c r="O39" s="107">
        <f t="shared" si="6"/>
        <v>16266</v>
      </c>
      <c r="P39" s="108">
        <f t="shared" si="7"/>
        <v>12526</v>
      </c>
      <c r="Q39" s="108">
        <f t="shared" si="8"/>
        <v>0</v>
      </c>
    </row>
    <row r="40" spans="1:17">
      <c r="A40" s="10">
        <v>2150</v>
      </c>
      <c r="B40" s="11" t="s">
        <v>34</v>
      </c>
      <c r="C40" s="137">
        <f>VLOOKUP(A40,'Contribution Allocation_Report'!$A$9:$D$314,4,FALSE)</f>
        <v>1.3884543509195837E-3</v>
      </c>
      <c r="E40" s="144">
        <v>1.3283844396578125E-3</v>
      </c>
      <c r="F40" s="92"/>
      <c r="G40" s="101">
        <f t="shared" si="0"/>
        <v>164230</v>
      </c>
      <c r="H40" s="86">
        <f t="shared" si="2"/>
        <v>28463</v>
      </c>
      <c r="I40" s="86">
        <f t="shared" si="9"/>
        <v>135767</v>
      </c>
      <c r="J40" s="86"/>
      <c r="K40" s="87"/>
      <c r="L40" s="107">
        <f t="shared" si="3"/>
        <v>28463</v>
      </c>
      <c r="M40" s="107">
        <f t="shared" si="4"/>
        <v>28463</v>
      </c>
      <c r="N40" s="107">
        <f t="shared" si="5"/>
        <v>28463</v>
      </c>
      <c r="O40" s="107">
        <f t="shared" si="6"/>
        <v>28463</v>
      </c>
      <c r="P40" s="108">
        <f t="shared" si="7"/>
        <v>21915</v>
      </c>
      <c r="Q40" s="108">
        <f t="shared" si="8"/>
        <v>0</v>
      </c>
    </row>
    <row r="41" spans="1:17">
      <c r="A41" s="12">
        <v>2336</v>
      </c>
      <c r="B41" s="13" t="s">
        <v>35</v>
      </c>
      <c r="C41" s="138">
        <f>VLOOKUP(A41,'Contribution Allocation_Report'!$A$9:$D$314,4,FALSE)</f>
        <v>2.5179667178732627E-4</v>
      </c>
      <c r="E41" s="144">
        <v>2.5014776730103466E-4</v>
      </c>
      <c r="F41" s="92"/>
      <c r="G41" s="101">
        <f t="shared" si="0"/>
        <v>4508</v>
      </c>
      <c r="H41" s="86">
        <f t="shared" si="2"/>
        <v>781</v>
      </c>
      <c r="I41" s="86">
        <f t="shared" si="9"/>
        <v>3727</v>
      </c>
      <c r="J41" s="86"/>
      <c r="K41" s="87"/>
      <c r="L41" s="107">
        <f t="shared" si="3"/>
        <v>781</v>
      </c>
      <c r="M41" s="107">
        <f t="shared" si="4"/>
        <v>781</v>
      </c>
      <c r="N41" s="107">
        <f t="shared" si="5"/>
        <v>781</v>
      </c>
      <c r="O41" s="107">
        <f t="shared" si="6"/>
        <v>781</v>
      </c>
      <c r="P41" s="108">
        <f t="shared" si="7"/>
        <v>603</v>
      </c>
      <c r="Q41" s="108">
        <f t="shared" si="8"/>
        <v>0</v>
      </c>
    </row>
    <row r="42" spans="1:17">
      <c r="A42" s="10">
        <v>17126</v>
      </c>
      <c r="B42" s="11" t="s">
        <v>36</v>
      </c>
      <c r="C42" s="137">
        <f>VLOOKUP(A42,'Contribution Allocation_Report'!$A$9:$D$314,4,FALSE)</f>
        <v>6.8825800083795565E-4</v>
      </c>
      <c r="E42" s="144">
        <v>6.8639686799511755E-4</v>
      </c>
      <c r="F42" s="92"/>
      <c r="G42" s="101">
        <f t="shared" si="0"/>
        <v>5088</v>
      </c>
      <c r="H42" s="86">
        <f t="shared" si="2"/>
        <v>882</v>
      </c>
      <c r="I42" s="86">
        <f t="shared" si="9"/>
        <v>4206</v>
      </c>
      <c r="J42" s="86"/>
      <c r="K42" s="87"/>
      <c r="L42" s="107">
        <f t="shared" si="3"/>
        <v>882</v>
      </c>
      <c r="M42" s="107">
        <f t="shared" si="4"/>
        <v>882</v>
      </c>
      <c r="N42" s="107">
        <f t="shared" si="5"/>
        <v>882</v>
      </c>
      <c r="O42" s="107">
        <f t="shared" si="6"/>
        <v>882</v>
      </c>
      <c r="P42" s="108">
        <f t="shared" si="7"/>
        <v>678</v>
      </c>
      <c r="Q42" s="108">
        <f t="shared" si="8"/>
        <v>0</v>
      </c>
    </row>
    <row r="43" spans="1:17">
      <c r="A43" s="12">
        <v>3030</v>
      </c>
      <c r="B43" s="13" t="s">
        <v>37</v>
      </c>
      <c r="C43" s="138">
        <f>VLOOKUP(A43,'Contribution Allocation_Report'!$A$9:$D$314,4,FALSE)</f>
        <v>1.9081449251297745E-3</v>
      </c>
      <c r="E43" s="144">
        <v>1.7689912418130862E-3</v>
      </c>
      <c r="F43" s="92"/>
      <c r="G43" s="101">
        <f t="shared" si="0"/>
        <v>380443</v>
      </c>
      <c r="H43" s="86">
        <f t="shared" si="2"/>
        <v>65935</v>
      </c>
      <c r="I43" s="86">
        <f t="shared" si="9"/>
        <v>314508</v>
      </c>
      <c r="J43" s="86"/>
      <c r="K43" s="87"/>
      <c r="L43" s="107">
        <f t="shared" si="3"/>
        <v>65935</v>
      </c>
      <c r="M43" s="107">
        <f t="shared" si="4"/>
        <v>65935</v>
      </c>
      <c r="N43" s="107">
        <f t="shared" si="5"/>
        <v>65935</v>
      </c>
      <c r="O43" s="107">
        <f t="shared" si="6"/>
        <v>65935</v>
      </c>
      <c r="P43" s="108">
        <f t="shared" si="7"/>
        <v>50768</v>
      </c>
      <c r="Q43" s="108">
        <f t="shared" si="8"/>
        <v>0</v>
      </c>
    </row>
    <row r="44" spans="1:17">
      <c r="A44" s="10">
        <v>2353</v>
      </c>
      <c r="B44" s="11" t="s">
        <v>38</v>
      </c>
      <c r="C44" s="137">
        <f>VLOOKUP(A44,'Contribution Allocation_Report'!$A$9:$D$314,4,FALSE)</f>
        <v>8.5349242322968564E-4</v>
      </c>
      <c r="E44" s="144">
        <v>7.6840017260894746E-4</v>
      </c>
      <c r="F44" s="92"/>
      <c r="G44" s="101">
        <f t="shared" si="0"/>
        <v>232640</v>
      </c>
      <c r="H44" s="86">
        <f t="shared" si="2"/>
        <v>40319</v>
      </c>
      <c r="I44" s="86">
        <f t="shared" si="9"/>
        <v>192321</v>
      </c>
      <c r="J44" s="86"/>
      <c r="K44" s="87"/>
      <c r="L44" s="107">
        <f t="shared" si="3"/>
        <v>40319</v>
      </c>
      <c r="M44" s="107">
        <f t="shared" si="4"/>
        <v>40319</v>
      </c>
      <c r="N44" s="107">
        <f t="shared" si="5"/>
        <v>40319</v>
      </c>
      <c r="O44" s="107">
        <f t="shared" si="6"/>
        <v>40319</v>
      </c>
      <c r="P44" s="108">
        <f t="shared" si="7"/>
        <v>31045</v>
      </c>
      <c r="Q44" s="108">
        <f t="shared" si="8"/>
        <v>0</v>
      </c>
    </row>
    <row r="45" spans="1:17">
      <c r="A45" s="12">
        <v>3040</v>
      </c>
      <c r="B45" s="13" t="s">
        <v>39</v>
      </c>
      <c r="C45" s="138">
        <f>VLOOKUP(A45,'Contribution Allocation_Report'!$A$9:$D$314,4,FALSE)</f>
        <v>8.4700338843386627E-4</v>
      </c>
      <c r="E45" s="144">
        <v>8.2249848444246798E-4</v>
      </c>
      <c r="F45" s="92"/>
      <c r="G45" s="101">
        <f t="shared" si="0"/>
        <v>66996</v>
      </c>
      <c r="H45" s="86">
        <f t="shared" si="2"/>
        <v>11611</v>
      </c>
      <c r="I45" s="86">
        <f t="shared" si="9"/>
        <v>55385</v>
      </c>
      <c r="J45" s="86"/>
      <c r="K45" s="87"/>
      <c r="L45" s="107">
        <f t="shared" si="3"/>
        <v>11611</v>
      </c>
      <c r="M45" s="107">
        <f t="shared" si="4"/>
        <v>11611</v>
      </c>
      <c r="N45" s="107">
        <f t="shared" si="5"/>
        <v>11611</v>
      </c>
      <c r="O45" s="107">
        <f t="shared" si="6"/>
        <v>11611</v>
      </c>
      <c r="P45" s="108">
        <f t="shared" si="7"/>
        <v>8941</v>
      </c>
      <c r="Q45" s="108">
        <f t="shared" si="8"/>
        <v>0</v>
      </c>
    </row>
    <row r="46" spans="1:17">
      <c r="A46" s="10">
        <v>2367</v>
      </c>
      <c r="B46" s="11" t="s">
        <v>40</v>
      </c>
      <c r="C46" s="137">
        <f>VLOOKUP(A46,'Contribution Allocation_Report'!$A$9:$D$314,4,FALSE)</f>
        <v>5.5949490356000178E-4</v>
      </c>
      <c r="E46" s="144">
        <v>6.5937911893573526E-4</v>
      </c>
      <c r="F46" s="92"/>
      <c r="G46" s="101">
        <f t="shared" si="0"/>
        <v>-273081</v>
      </c>
      <c r="H46" s="86">
        <f t="shared" si="2"/>
        <v>-47328</v>
      </c>
      <c r="I46" s="86">
        <f t="shared" si="9"/>
        <v>-225753</v>
      </c>
      <c r="J46" s="86"/>
      <c r="K46" s="87"/>
      <c r="L46" s="107">
        <f t="shared" si="3"/>
        <v>-47328</v>
      </c>
      <c r="M46" s="107">
        <f t="shared" si="4"/>
        <v>-47328</v>
      </c>
      <c r="N46" s="107">
        <f t="shared" si="5"/>
        <v>-47328</v>
      </c>
      <c r="O46" s="107">
        <f t="shared" si="6"/>
        <v>-47328</v>
      </c>
      <c r="P46" s="108">
        <f t="shared" si="7"/>
        <v>-36441</v>
      </c>
      <c r="Q46" s="108">
        <f t="shared" si="8"/>
        <v>0</v>
      </c>
    </row>
    <row r="47" spans="1:17">
      <c r="A47" s="12">
        <v>9027</v>
      </c>
      <c r="B47" s="13" t="s">
        <v>41</v>
      </c>
      <c r="C47" s="138">
        <f>VLOOKUP(A47,'Contribution Allocation_Report'!$A$9:$D$314,4,FALSE)</f>
        <v>6.4768678555772983E-4</v>
      </c>
      <c r="E47" s="144">
        <v>7.0012951638362658E-4</v>
      </c>
      <c r="F47" s="92"/>
      <c r="G47" s="101">
        <f t="shared" si="0"/>
        <v>-143377</v>
      </c>
      <c r="H47" s="86">
        <f t="shared" si="2"/>
        <v>-24849</v>
      </c>
      <c r="I47" s="86">
        <f t="shared" si="9"/>
        <v>-118528</v>
      </c>
      <c r="J47" s="86"/>
      <c r="K47" s="87"/>
      <c r="L47" s="107">
        <f t="shared" si="3"/>
        <v>-24849</v>
      </c>
      <c r="M47" s="107">
        <f t="shared" si="4"/>
        <v>-24849</v>
      </c>
      <c r="N47" s="107">
        <f t="shared" si="5"/>
        <v>-24849</v>
      </c>
      <c r="O47" s="107">
        <f t="shared" si="6"/>
        <v>-24849</v>
      </c>
      <c r="P47" s="108">
        <f t="shared" si="7"/>
        <v>-19132</v>
      </c>
      <c r="Q47" s="108">
        <f t="shared" si="8"/>
        <v>0</v>
      </c>
    </row>
    <row r="48" spans="1:17">
      <c r="A48" s="10">
        <v>2010</v>
      </c>
      <c r="B48" s="11" t="s">
        <v>42</v>
      </c>
      <c r="C48" s="137">
        <f>VLOOKUP(A48,'Contribution Allocation_Report'!$A$9:$D$314,4,FALSE)</f>
        <v>2.488994652290564E-3</v>
      </c>
      <c r="E48" s="144">
        <v>2.6197009358952983E-3</v>
      </c>
      <c r="F48" s="92"/>
      <c r="G48" s="101">
        <f t="shared" si="0"/>
        <v>-357348</v>
      </c>
      <c r="H48" s="86">
        <f t="shared" si="2"/>
        <v>-61932</v>
      </c>
      <c r="I48" s="86">
        <f t="shared" si="9"/>
        <v>-295416</v>
      </c>
      <c r="J48" s="86"/>
      <c r="K48" s="87"/>
      <c r="L48" s="107">
        <f t="shared" si="3"/>
        <v>-61932</v>
      </c>
      <c r="M48" s="107">
        <f t="shared" si="4"/>
        <v>-61932</v>
      </c>
      <c r="N48" s="107">
        <f t="shared" si="5"/>
        <v>-61932</v>
      </c>
      <c r="O48" s="107">
        <f t="shared" si="6"/>
        <v>-61932</v>
      </c>
      <c r="P48" s="108">
        <f t="shared" si="7"/>
        <v>-47688</v>
      </c>
      <c r="Q48" s="108">
        <f t="shared" si="8"/>
        <v>0</v>
      </c>
    </row>
    <row r="49" spans="1:17">
      <c r="A49" s="12">
        <v>2020</v>
      </c>
      <c r="B49" s="13" t="s">
        <v>43</v>
      </c>
      <c r="C49" s="138">
        <f>VLOOKUP(A49,'Contribution Allocation_Report'!$A$9:$D$314,4,FALSE)</f>
        <v>6.5469560678850083E-2</v>
      </c>
      <c r="E49" s="144">
        <v>6.5017235572967583E-2</v>
      </c>
      <c r="F49" s="92"/>
      <c r="G49" s="101">
        <f t="shared" si="0"/>
        <v>1236646</v>
      </c>
      <c r="H49" s="86">
        <f t="shared" si="2"/>
        <v>214323</v>
      </c>
      <c r="I49" s="86">
        <f t="shared" si="9"/>
        <v>1022323</v>
      </c>
      <c r="J49" s="86"/>
      <c r="K49" s="87"/>
      <c r="L49" s="107">
        <f t="shared" si="3"/>
        <v>214323</v>
      </c>
      <c r="M49" s="107">
        <f t="shared" si="4"/>
        <v>214323</v>
      </c>
      <c r="N49" s="107">
        <f t="shared" si="5"/>
        <v>214323</v>
      </c>
      <c r="O49" s="107">
        <f t="shared" si="6"/>
        <v>214323</v>
      </c>
      <c r="P49" s="108">
        <f t="shared" si="7"/>
        <v>165031</v>
      </c>
      <c r="Q49" s="108">
        <f t="shared" si="8"/>
        <v>0</v>
      </c>
    </row>
    <row r="50" spans="1:17">
      <c r="A50" s="10">
        <v>2040</v>
      </c>
      <c r="B50" s="11" t="s">
        <v>44</v>
      </c>
      <c r="C50" s="137">
        <f>VLOOKUP(A50,'Contribution Allocation_Report'!$A$9:$D$314,4,FALSE)</f>
        <v>8.7455229070339062E-4</v>
      </c>
      <c r="E50" s="144">
        <v>8.840323697602183E-4</v>
      </c>
      <c r="F50" s="92"/>
      <c r="G50" s="101">
        <f t="shared" si="0"/>
        <v>-25918</v>
      </c>
      <c r="H50" s="86">
        <f t="shared" si="2"/>
        <v>-4492</v>
      </c>
      <c r="I50" s="86">
        <f t="shared" si="9"/>
        <v>-21426</v>
      </c>
      <c r="J50" s="86"/>
      <c r="K50" s="87"/>
      <c r="L50" s="107">
        <f t="shared" si="3"/>
        <v>-4492</v>
      </c>
      <c r="M50" s="107">
        <f t="shared" si="4"/>
        <v>-4492</v>
      </c>
      <c r="N50" s="107">
        <f t="shared" si="5"/>
        <v>-4492</v>
      </c>
      <c r="O50" s="107">
        <f t="shared" si="6"/>
        <v>-4492</v>
      </c>
      <c r="P50" s="108">
        <f t="shared" si="7"/>
        <v>-3458</v>
      </c>
      <c r="Q50" s="108">
        <f t="shared" si="8"/>
        <v>0</v>
      </c>
    </row>
    <row r="51" spans="1:17">
      <c r="A51" s="12">
        <v>2060</v>
      </c>
      <c r="B51" s="13" t="s">
        <v>45</v>
      </c>
      <c r="C51" s="138">
        <f>VLOOKUP(A51,'Contribution Allocation_Report'!$A$9:$D$314,4,FALSE)</f>
        <v>1.2955210491790011E-3</v>
      </c>
      <c r="E51" s="144">
        <v>1.2759978015513904E-3</v>
      </c>
      <c r="F51" s="92"/>
      <c r="G51" s="101">
        <f t="shared" si="0"/>
        <v>53376</v>
      </c>
      <c r="H51" s="86">
        <f t="shared" si="2"/>
        <v>9251</v>
      </c>
      <c r="I51" s="86">
        <f t="shared" si="9"/>
        <v>44125</v>
      </c>
      <c r="J51" s="86"/>
      <c r="K51" s="87"/>
      <c r="L51" s="107">
        <f t="shared" si="3"/>
        <v>9251</v>
      </c>
      <c r="M51" s="107">
        <f t="shared" si="4"/>
        <v>9251</v>
      </c>
      <c r="N51" s="107">
        <f t="shared" si="5"/>
        <v>9251</v>
      </c>
      <c r="O51" s="107">
        <f t="shared" si="6"/>
        <v>9251</v>
      </c>
      <c r="P51" s="108">
        <f t="shared" si="7"/>
        <v>7121</v>
      </c>
      <c r="Q51" s="108">
        <f t="shared" si="8"/>
        <v>0</v>
      </c>
    </row>
    <row r="52" spans="1:17">
      <c r="A52" s="10">
        <v>2090</v>
      </c>
      <c r="B52" s="11" t="s">
        <v>46</v>
      </c>
      <c r="C52" s="137">
        <f>VLOOKUP(A52,'Contribution Allocation_Report'!$A$9:$D$314,4,FALSE)</f>
        <v>7.6170207648154859E-4</v>
      </c>
      <c r="E52" s="144">
        <v>7.5527995793930847E-4</v>
      </c>
      <c r="F52" s="92"/>
      <c r="G52" s="101">
        <f t="shared" si="0"/>
        <v>17558</v>
      </c>
      <c r="H52" s="86">
        <f t="shared" si="2"/>
        <v>3043</v>
      </c>
      <c r="I52" s="86">
        <f t="shared" si="9"/>
        <v>14515</v>
      </c>
      <c r="J52" s="86"/>
      <c r="K52" s="87"/>
      <c r="L52" s="107">
        <f t="shared" si="3"/>
        <v>3043</v>
      </c>
      <c r="M52" s="107">
        <f t="shared" si="4"/>
        <v>3043</v>
      </c>
      <c r="N52" s="107">
        <f t="shared" si="5"/>
        <v>3043</v>
      </c>
      <c r="O52" s="107">
        <f t="shared" si="6"/>
        <v>3043</v>
      </c>
      <c r="P52" s="108">
        <f t="shared" si="7"/>
        <v>2343</v>
      </c>
      <c r="Q52" s="108">
        <f t="shared" si="8"/>
        <v>0</v>
      </c>
    </row>
    <row r="53" spans="1:17">
      <c r="A53" s="12">
        <v>2110</v>
      </c>
      <c r="B53" s="43" t="s">
        <v>47</v>
      </c>
      <c r="C53" s="140">
        <f>VLOOKUP(A53,'Contribution Allocation_Report'!$A$9:$D$314,4,FALSE)</f>
        <v>5.3192461697126377E-3</v>
      </c>
      <c r="E53" s="144">
        <v>5.1958248571786899E-3</v>
      </c>
      <c r="F53" s="92"/>
      <c r="G53" s="101">
        <f t="shared" si="0"/>
        <v>337431</v>
      </c>
      <c r="H53" s="86">
        <f t="shared" si="2"/>
        <v>58480</v>
      </c>
      <c r="I53" s="86">
        <f t="shared" si="9"/>
        <v>278951</v>
      </c>
      <c r="J53" s="86"/>
      <c r="K53" s="87"/>
      <c r="L53" s="107">
        <f t="shared" si="3"/>
        <v>58480</v>
      </c>
      <c r="M53" s="107">
        <f t="shared" si="4"/>
        <v>58480</v>
      </c>
      <c r="N53" s="107">
        <f t="shared" si="5"/>
        <v>58480</v>
      </c>
      <c r="O53" s="107">
        <f t="shared" si="6"/>
        <v>58480</v>
      </c>
      <c r="P53" s="108">
        <f t="shared" si="7"/>
        <v>45031</v>
      </c>
      <c r="Q53" s="108">
        <f t="shared" si="8"/>
        <v>0</v>
      </c>
    </row>
    <row r="54" spans="1:17">
      <c r="A54" s="10">
        <v>2180</v>
      </c>
      <c r="B54" s="11" t="s">
        <v>48</v>
      </c>
      <c r="C54" s="137">
        <f>VLOOKUP(A54,'Contribution Allocation_Report'!$A$9:$D$314,4,FALSE)</f>
        <v>2.5628147969961874E-3</v>
      </c>
      <c r="E54" s="144">
        <v>2.5949444805671287E-3</v>
      </c>
      <c r="F54" s="92"/>
      <c r="G54" s="101">
        <f t="shared" si="0"/>
        <v>-87842</v>
      </c>
      <c r="H54" s="86">
        <f t="shared" si="2"/>
        <v>-15224</v>
      </c>
      <c r="I54" s="86">
        <f t="shared" si="9"/>
        <v>-72618</v>
      </c>
      <c r="J54" s="86"/>
      <c r="K54" s="87"/>
      <c r="L54" s="107">
        <f t="shared" si="3"/>
        <v>-15224</v>
      </c>
      <c r="M54" s="107">
        <f t="shared" si="4"/>
        <v>-15224</v>
      </c>
      <c r="N54" s="107">
        <f t="shared" si="5"/>
        <v>-15224</v>
      </c>
      <c r="O54" s="107">
        <f t="shared" si="6"/>
        <v>-15224</v>
      </c>
      <c r="P54" s="108">
        <f t="shared" si="7"/>
        <v>-11722</v>
      </c>
      <c r="Q54" s="108">
        <f t="shared" si="8"/>
        <v>0</v>
      </c>
    </row>
    <row r="55" spans="1:17">
      <c r="A55" s="183">
        <v>2210</v>
      </c>
      <c r="B55" s="184" t="s">
        <v>49</v>
      </c>
      <c r="C55" s="140">
        <f>VLOOKUP(A55,'Contribution Allocation_Report'!$A$9:$D$314,4,FALSE)</f>
        <v>1.227319818694303E-3</v>
      </c>
      <c r="E55" s="144">
        <v>1.1710046773369003E-3</v>
      </c>
      <c r="F55" s="92"/>
      <c r="G55" s="101">
        <f t="shared" si="0"/>
        <v>153964</v>
      </c>
      <c r="H55" s="86">
        <f t="shared" si="2"/>
        <v>26684</v>
      </c>
      <c r="I55" s="86">
        <f t="shared" si="9"/>
        <v>127280</v>
      </c>
      <c r="J55" s="86"/>
      <c r="K55" s="87"/>
      <c r="L55" s="107">
        <f t="shared" si="3"/>
        <v>26684</v>
      </c>
      <c r="M55" s="107">
        <f t="shared" si="4"/>
        <v>26684</v>
      </c>
      <c r="N55" s="107">
        <f t="shared" si="5"/>
        <v>26684</v>
      </c>
      <c r="O55" s="107">
        <f t="shared" si="6"/>
        <v>26684</v>
      </c>
      <c r="P55" s="108">
        <f t="shared" si="7"/>
        <v>20544</v>
      </c>
      <c r="Q55" s="108">
        <f t="shared" si="8"/>
        <v>0</v>
      </c>
    </row>
    <row r="56" spans="1:17">
      <c r="A56" s="10">
        <v>2290</v>
      </c>
      <c r="B56" s="11" t="s">
        <v>50</v>
      </c>
      <c r="C56" s="137">
        <f>VLOOKUP(A56,'Contribution Allocation_Report'!$A$9:$D$314,4,FALSE)</f>
        <v>1.3225095348070683E-3</v>
      </c>
      <c r="E56" s="144">
        <v>1.2606869585796393E-3</v>
      </c>
      <c r="F56" s="92"/>
      <c r="G56" s="101">
        <f t="shared" si="0"/>
        <v>169021</v>
      </c>
      <c r="H56" s="86">
        <f t="shared" si="2"/>
        <v>29293</v>
      </c>
      <c r="I56" s="86">
        <f t="shared" si="9"/>
        <v>139728</v>
      </c>
      <c r="J56" s="86"/>
      <c r="K56" s="87"/>
      <c r="L56" s="107">
        <f t="shared" si="3"/>
        <v>29293</v>
      </c>
      <c r="M56" s="107">
        <f t="shared" si="4"/>
        <v>29293</v>
      </c>
      <c r="N56" s="107">
        <f t="shared" si="5"/>
        <v>29293</v>
      </c>
      <c r="O56" s="107">
        <f t="shared" si="6"/>
        <v>29293</v>
      </c>
      <c r="P56" s="108">
        <f t="shared" si="7"/>
        <v>22556</v>
      </c>
      <c r="Q56" s="108">
        <f t="shared" si="8"/>
        <v>0</v>
      </c>
    </row>
    <row r="57" spans="1:17">
      <c r="A57" s="12">
        <v>2310</v>
      </c>
      <c r="B57" s="13" t="s">
        <v>51</v>
      </c>
      <c r="C57" s="138">
        <f>VLOOKUP(A57,'Contribution Allocation_Report'!$A$9:$D$314,4,FALSE)</f>
        <v>8.4126722915242539E-3</v>
      </c>
      <c r="E57" s="144">
        <v>9.1252388560206094E-3</v>
      </c>
      <c r="F57" s="92"/>
      <c r="G57" s="101">
        <f t="shared" si="0"/>
        <v>-1948139</v>
      </c>
      <c r="H57" s="86">
        <f t="shared" si="2"/>
        <v>-337632</v>
      </c>
      <c r="I57" s="86">
        <f t="shared" si="9"/>
        <v>-1610507</v>
      </c>
      <c r="J57" s="86"/>
      <c r="K57" s="87"/>
      <c r="L57" s="107">
        <f t="shared" si="3"/>
        <v>-337632</v>
      </c>
      <c r="M57" s="107">
        <f t="shared" si="4"/>
        <v>-337632</v>
      </c>
      <c r="N57" s="107">
        <f t="shared" si="5"/>
        <v>-337632</v>
      </c>
      <c r="O57" s="107">
        <f t="shared" si="6"/>
        <v>-337632</v>
      </c>
      <c r="P57" s="108">
        <f t="shared" si="7"/>
        <v>-259979</v>
      </c>
      <c r="Q57" s="108">
        <f t="shared" si="8"/>
        <v>0</v>
      </c>
    </row>
    <row r="58" spans="1:17">
      <c r="A58" s="10">
        <v>2330</v>
      </c>
      <c r="B58" s="11" t="s">
        <v>52</v>
      </c>
      <c r="C58" s="137">
        <f>VLOOKUP(A58,'Contribution Allocation_Report'!$A$9:$D$314,4,FALSE)</f>
        <v>3.2655256480611954E-3</v>
      </c>
      <c r="E58" s="144">
        <v>2.8841937853037124E-3</v>
      </c>
      <c r="F58" s="92"/>
      <c r="G58" s="101">
        <f t="shared" si="0"/>
        <v>1042552</v>
      </c>
      <c r="H58" s="86">
        <f t="shared" si="2"/>
        <v>180685</v>
      </c>
      <c r="I58" s="86">
        <f t="shared" si="9"/>
        <v>861867</v>
      </c>
      <c r="J58" s="86"/>
      <c r="K58" s="87"/>
      <c r="L58" s="107">
        <f t="shared" si="3"/>
        <v>180685</v>
      </c>
      <c r="M58" s="107">
        <f t="shared" si="4"/>
        <v>180685</v>
      </c>
      <c r="N58" s="107">
        <f t="shared" si="5"/>
        <v>180685</v>
      </c>
      <c r="O58" s="107">
        <f t="shared" si="6"/>
        <v>180685</v>
      </c>
      <c r="P58" s="108">
        <f t="shared" si="7"/>
        <v>139127</v>
      </c>
      <c r="Q58" s="108">
        <f t="shared" si="8"/>
        <v>0</v>
      </c>
    </row>
    <row r="59" spans="1:17">
      <c r="A59" s="12">
        <v>2380</v>
      </c>
      <c r="B59" s="13" t="s">
        <v>53</v>
      </c>
      <c r="C59" s="138">
        <f>VLOOKUP(A59,'Contribution Allocation_Report'!$A$9:$D$314,4,FALSE)</f>
        <v>5.1713920371092563E-4</v>
      </c>
      <c r="E59" s="144">
        <v>5.6953980340610671E-4</v>
      </c>
      <c r="F59" s="92"/>
      <c r="G59" s="101">
        <f t="shared" si="0"/>
        <v>-143262</v>
      </c>
      <c r="H59" s="86">
        <f t="shared" si="2"/>
        <v>-24829</v>
      </c>
      <c r="I59" s="86">
        <f t="shared" si="9"/>
        <v>-118433</v>
      </c>
      <c r="J59" s="86"/>
      <c r="K59" s="87"/>
      <c r="L59" s="107">
        <f t="shared" si="3"/>
        <v>-24829</v>
      </c>
      <c r="M59" s="107">
        <f t="shared" si="4"/>
        <v>-24829</v>
      </c>
      <c r="N59" s="107">
        <f t="shared" si="5"/>
        <v>-24829</v>
      </c>
      <c r="O59" s="107">
        <f t="shared" si="6"/>
        <v>-24829</v>
      </c>
      <c r="P59" s="108">
        <f t="shared" si="7"/>
        <v>-19117</v>
      </c>
      <c r="Q59" s="108">
        <f t="shared" si="8"/>
        <v>0</v>
      </c>
    </row>
    <row r="60" spans="1:17">
      <c r="A60" s="10">
        <v>2400</v>
      </c>
      <c r="B60" s="11" t="s">
        <v>54</v>
      </c>
      <c r="C60" s="137">
        <f>VLOOKUP(A60,'Contribution Allocation_Report'!$A$9:$D$314,4,FALSE)</f>
        <v>1.5884729493781769E-2</v>
      </c>
      <c r="E60" s="144">
        <v>1.6037896016621953E-2</v>
      </c>
      <c r="F60" s="92"/>
      <c r="G60" s="101">
        <f t="shared" si="0"/>
        <v>-418753</v>
      </c>
      <c r="H60" s="86">
        <f t="shared" si="2"/>
        <v>-72574</v>
      </c>
      <c r="I60" s="86">
        <f t="shared" si="9"/>
        <v>-346179</v>
      </c>
      <c r="J60" s="86"/>
      <c r="K60" s="87"/>
      <c r="L60" s="107">
        <f t="shared" si="3"/>
        <v>-72574</v>
      </c>
      <c r="M60" s="107">
        <f t="shared" si="4"/>
        <v>-72574</v>
      </c>
      <c r="N60" s="107">
        <f t="shared" si="5"/>
        <v>-72574</v>
      </c>
      <c r="O60" s="107">
        <f t="shared" si="6"/>
        <v>-72574</v>
      </c>
      <c r="P60" s="108">
        <f t="shared" si="7"/>
        <v>-55883</v>
      </c>
      <c r="Q60" s="108">
        <f t="shared" si="8"/>
        <v>0</v>
      </c>
    </row>
    <row r="61" spans="1:17">
      <c r="A61" s="12">
        <v>2410</v>
      </c>
      <c r="B61" s="13" t="s">
        <v>55</v>
      </c>
      <c r="C61" s="138">
        <f>VLOOKUP(A61,'Contribution Allocation_Report'!$A$9:$D$314,4,FALSE)</f>
        <v>1.7440608316336671E-3</v>
      </c>
      <c r="E61" s="144">
        <v>1.5960101230896768E-3</v>
      </c>
      <c r="F61" s="92"/>
      <c r="G61" s="101">
        <f t="shared" si="0"/>
        <v>404767</v>
      </c>
      <c r="H61" s="86">
        <f t="shared" si="2"/>
        <v>70150</v>
      </c>
      <c r="I61" s="86">
        <f t="shared" si="9"/>
        <v>334617</v>
      </c>
      <c r="J61" s="86"/>
      <c r="K61" s="87"/>
      <c r="L61" s="107">
        <f t="shared" si="3"/>
        <v>70150</v>
      </c>
      <c r="M61" s="107">
        <f t="shared" si="4"/>
        <v>70150</v>
      </c>
      <c r="N61" s="107">
        <f t="shared" si="5"/>
        <v>70150</v>
      </c>
      <c r="O61" s="107">
        <f t="shared" si="6"/>
        <v>70150</v>
      </c>
      <c r="P61" s="108">
        <f t="shared" si="7"/>
        <v>54017</v>
      </c>
      <c r="Q61" s="108">
        <f t="shared" si="8"/>
        <v>0</v>
      </c>
    </row>
    <row r="62" spans="1:17">
      <c r="A62" s="10">
        <v>2500</v>
      </c>
      <c r="B62" s="11" t="s">
        <v>56</v>
      </c>
      <c r="C62" s="137">
        <f>VLOOKUP(A62,'Contribution Allocation_Report'!$A$9:$D$314,4,FALSE)</f>
        <v>2.9671848994202186E-4</v>
      </c>
      <c r="E62" s="144">
        <v>2.9304953447931566E-4</v>
      </c>
      <c r="F62" s="92"/>
      <c r="G62" s="101">
        <f t="shared" si="0"/>
        <v>10031</v>
      </c>
      <c r="H62" s="86">
        <f t="shared" si="2"/>
        <v>1738</v>
      </c>
      <c r="I62" s="86">
        <f t="shared" si="9"/>
        <v>8293</v>
      </c>
      <c r="J62" s="86"/>
      <c r="K62" s="87"/>
      <c r="L62" s="107">
        <f t="shared" si="3"/>
        <v>1738</v>
      </c>
      <c r="M62" s="107">
        <f t="shared" si="4"/>
        <v>1738</v>
      </c>
      <c r="N62" s="107">
        <f t="shared" si="5"/>
        <v>1738</v>
      </c>
      <c r="O62" s="107">
        <f t="shared" si="6"/>
        <v>1738</v>
      </c>
      <c r="P62" s="108">
        <f t="shared" si="7"/>
        <v>1341</v>
      </c>
      <c r="Q62" s="108">
        <f t="shared" si="8"/>
        <v>0</v>
      </c>
    </row>
    <row r="63" spans="1:17">
      <c r="A63" s="12">
        <v>2550</v>
      </c>
      <c r="B63" s="13" t="s">
        <v>57</v>
      </c>
      <c r="C63" s="138">
        <f>VLOOKUP(A63,'Contribution Allocation_Report'!$A$9:$D$314,4,FALSE)</f>
        <v>1.0799154941847225E-3</v>
      </c>
      <c r="E63" s="144">
        <v>1.0896138064419407E-3</v>
      </c>
      <c r="F63" s="92"/>
      <c r="G63" s="101">
        <f t="shared" si="0"/>
        <v>-26515</v>
      </c>
      <c r="H63" s="86">
        <f t="shared" si="2"/>
        <v>-4595</v>
      </c>
      <c r="I63" s="86">
        <f t="shared" si="9"/>
        <v>-21920</v>
      </c>
      <c r="J63" s="86"/>
      <c r="K63" s="87"/>
      <c r="L63" s="107">
        <f t="shared" si="3"/>
        <v>-4595</v>
      </c>
      <c r="M63" s="107">
        <f t="shared" si="4"/>
        <v>-4595</v>
      </c>
      <c r="N63" s="107">
        <f t="shared" si="5"/>
        <v>-4595</v>
      </c>
      <c r="O63" s="107">
        <f t="shared" si="6"/>
        <v>-4595</v>
      </c>
      <c r="P63" s="108">
        <f t="shared" si="7"/>
        <v>-3540</v>
      </c>
      <c r="Q63" s="108">
        <f t="shared" si="8"/>
        <v>0</v>
      </c>
    </row>
    <row r="64" spans="1:17">
      <c r="A64" s="10">
        <v>2570</v>
      </c>
      <c r="B64" s="11" t="s">
        <v>58</v>
      </c>
      <c r="C64" s="137">
        <f>VLOOKUP(A64,'Contribution Allocation_Report'!$A$9:$D$314,4,FALSE)</f>
        <v>7.3098239584588507E-4</v>
      </c>
      <c r="E64" s="144">
        <v>6.8973384659152485E-4</v>
      </c>
      <c r="F64" s="92"/>
      <c r="G64" s="101">
        <f t="shared" si="0"/>
        <v>112772</v>
      </c>
      <c r="H64" s="86">
        <f t="shared" si="2"/>
        <v>19545</v>
      </c>
      <c r="I64" s="86">
        <f t="shared" si="9"/>
        <v>93227</v>
      </c>
      <c r="J64" s="86"/>
      <c r="K64" s="87"/>
      <c r="L64" s="107">
        <f t="shared" si="3"/>
        <v>19545</v>
      </c>
      <c r="M64" s="107">
        <f t="shared" si="4"/>
        <v>19545</v>
      </c>
      <c r="N64" s="107">
        <f t="shared" si="5"/>
        <v>19545</v>
      </c>
      <c r="O64" s="107">
        <f t="shared" si="6"/>
        <v>19545</v>
      </c>
      <c r="P64" s="108">
        <f t="shared" si="7"/>
        <v>15047</v>
      </c>
      <c r="Q64" s="108">
        <f t="shared" si="8"/>
        <v>0</v>
      </c>
    </row>
    <row r="65" spans="1:17">
      <c r="A65" s="12">
        <v>2620</v>
      </c>
      <c r="B65" s="13" t="s">
        <v>59</v>
      </c>
      <c r="C65" s="138">
        <f>VLOOKUP(A65,'Contribution Allocation_Report'!$A$9:$D$314,4,FALSE)</f>
        <v>7.2265947132992897E-3</v>
      </c>
      <c r="E65" s="144">
        <v>7.1971012161591011E-3</v>
      </c>
      <c r="F65" s="92"/>
      <c r="G65" s="101">
        <f t="shared" si="0"/>
        <v>80634</v>
      </c>
      <c r="H65" s="86">
        <f t="shared" si="2"/>
        <v>13975</v>
      </c>
      <c r="I65" s="86">
        <f t="shared" si="9"/>
        <v>66659</v>
      </c>
      <c r="J65" s="86"/>
      <c r="K65" s="87"/>
      <c r="L65" s="107">
        <f t="shared" si="3"/>
        <v>13975</v>
      </c>
      <c r="M65" s="107">
        <f t="shared" si="4"/>
        <v>13975</v>
      </c>
      <c r="N65" s="107">
        <f t="shared" si="5"/>
        <v>13975</v>
      </c>
      <c r="O65" s="107">
        <f t="shared" si="6"/>
        <v>13975</v>
      </c>
      <c r="P65" s="108">
        <f t="shared" si="7"/>
        <v>10759</v>
      </c>
      <c r="Q65" s="108">
        <f t="shared" si="8"/>
        <v>0</v>
      </c>
    </row>
    <row r="66" spans="1:17">
      <c r="A66" s="10">
        <v>2630</v>
      </c>
      <c r="B66" s="11" t="s">
        <v>60</v>
      </c>
      <c r="C66" s="137">
        <f>VLOOKUP(A66,'Contribution Allocation_Report'!$A$9:$D$314,4,FALSE)</f>
        <v>5.0265685787116493E-3</v>
      </c>
      <c r="E66" s="144">
        <v>5.1643865929433611E-3</v>
      </c>
      <c r="F66" s="92"/>
      <c r="G66" s="101">
        <f t="shared" si="0"/>
        <v>-376791</v>
      </c>
      <c r="H66" s="86">
        <f t="shared" si="2"/>
        <v>-65302</v>
      </c>
      <c r="I66" s="86">
        <f t="shared" si="9"/>
        <v>-311489</v>
      </c>
      <c r="J66" s="86"/>
      <c r="K66" s="87"/>
      <c r="L66" s="107">
        <f t="shared" si="3"/>
        <v>-65302</v>
      </c>
      <c r="M66" s="107">
        <f t="shared" si="4"/>
        <v>-65302</v>
      </c>
      <c r="N66" s="107">
        <f t="shared" si="5"/>
        <v>-65302</v>
      </c>
      <c r="O66" s="107">
        <f t="shared" si="6"/>
        <v>-65302</v>
      </c>
      <c r="P66" s="108">
        <f t="shared" si="7"/>
        <v>-50281</v>
      </c>
      <c r="Q66" s="108">
        <f t="shared" si="8"/>
        <v>0</v>
      </c>
    </row>
    <row r="67" spans="1:17">
      <c r="A67" s="12">
        <v>2690</v>
      </c>
      <c r="B67" s="13" t="s">
        <v>61</v>
      </c>
      <c r="C67" s="138">
        <f>VLOOKUP(A67,'Contribution Allocation_Report'!$A$9:$D$314,4,FALSE)</f>
        <v>1.4038105042858268E-2</v>
      </c>
      <c r="E67" s="144">
        <v>1.346348376906566E-2</v>
      </c>
      <c r="F67" s="92"/>
      <c r="G67" s="101">
        <f t="shared" si="0"/>
        <v>1571000</v>
      </c>
      <c r="H67" s="86">
        <f t="shared" si="2"/>
        <v>272270</v>
      </c>
      <c r="I67" s="86">
        <f t="shared" si="9"/>
        <v>1298730</v>
      </c>
      <c r="J67" s="86"/>
      <c r="K67" s="87"/>
      <c r="L67" s="107">
        <f t="shared" si="3"/>
        <v>272270</v>
      </c>
      <c r="M67" s="107">
        <f t="shared" si="4"/>
        <v>272270</v>
      </c>
      <c r="N67" s="107">
        <f t="shared" si="5"/>
        <v>272270</v>
      </c>
      <c r="O67" s="107">
        <f t="shared" si="6"/>
        <v>272270</v>
      </c>
      <c r="P67" s="108">
        <f t="shared" si="7"/>
        <v>209650</v>
      </c>
      <c r="Q67" s="108">
        <f t="shared" si="8"/>
        <v>0</v>
      </c>
    </row>
    <row r="68" spans="1:17">
      <c r="A68" s="10">
        <v>2710</v>
      </c>
      <c r="B68" s="11" t="s">
        <v>62</v>
      </c>
      <c r="C68" s="137">
        <f>VLOOKUP(A68,'Contribution Allocation_Report'!$A$9:$D$314,4,FALSE)</f>
        <v>1.091337670206E-4</v>
      </c>
      <c r="E68" s="144">
        <v>1.2756680295489218E-4</v>
      </c>
      <c r="F68" s="92"/>
      <c r="G68" s="101">
        <f t="shared" si="0"/>
        <v>-50395</v>
      </c>
      <c r="H68" s="86">
        <f t="shared" si="2"/>
        <v>-8734</v>
      </c>
      <c r="I68" s="86">
        <f t="shared" si="9"/>
        <v>-41661</v>
      </c>
      <c r="J68" s="86"/>
      <c r="K68" s="87"/>
      <c r="L68" s="107">
        <f t="shared" si="3"/>
        <v>-8734</v>
      </c>
      <c r="M68" s="107">
        <f t="shared" si="4"/>
        <v>-8734</v>
      </c>
      <c r="N68" s="107">
        <f t="shared" si="5"/>
        <v>-8734</v>
      </c>
      <c r="O68" s="107">
        <f t="shared" si="6"/>
        <v>-8734</v>
      </c>
      <c r="P68" s="108">
        <f t="shared" si="7"/>
        <v>-6725</v>
      </c>
      <c r="Q68" s="108">
        <f t="shared" si="8"/>
        <v>0</v>
      </c>
    </row>
    <row r="69" spans="1:17">
      <c r="A69" s="12">
        <v>2730</v>
      </c>
      <c r="B69" s="13" t="s">
        <v>63</v>
      </c>
      <c r="C69" s="138">
        <f>VLOOKUP(A69,'Contribution Allocation_Report'!$A$9:$D$314,4,FALSE)</f>
        <v>1.1727455612808261E-3</v>
      </c>
      <c r="E69" s="144">
        <v>1.1023257319656662E-3</v>
      </c>
      <c r="F69" s="92"/>
      <c r="G69" s="101">
        <f t="shared" ref="G69:G132" si="11">ROUND((E69-C69)*$G$318,0)</f>
        <v>192526</v>
      </c>
      <c r="H69" s="86">
        <f t="shared" si="2"/>
        <v>33367</v>
      </c>
      <c r="I69" s="86">
        <f t="shared" si="9"/>
        <v>159159</v>
      </c>
      <c r="J69" s="86"/>
      <c r="K69" s="87"/>
      <c r="L69" s="107">
        <f t="shared" si="3"/>
        <v>33367</v>
      </c>
      <c r="M69" s="107">
        <f t="shared" si="4"/>
        <v>33367</v>
      </c>
      <c r="N69" s="107">
        <f t="shared" si="5"/>
        <v>33367</v>
      </c>
      <c r="O69" s="107">
        <f t="shared" si="6"/>
        <v>33367</v>
      </c>
      <c r="P69" s="108">
        <f t="shared" si="7"/>
        <v>25691</v>
      </c>
      <c r="Q69" s="108">
        <f t="shared" si="8"/>
        <v>0</v>
      </c>
    </row>
    <row r="70" spans="1:17">
      <c r="A70" s="10">
        <v>2950</v>
      </c>
      <c r="B70" s="11" t="s">
        <v>64</v>
      </c>
      <c r="C70" s="137">
        <f>VLOOKUP(A70,'Contribution Allocation_Report'!$A$9:$D$314,4,FALSE)</f>
        <v>9.7062687519740396E-4</v>
      </c>
      <c r="E70" s="144">
        <v>8.0855383976665774E-4</v>
      </c>
      <c r="F70" s="92"/>
      <c r="G70" s="101">
        <f t="shared" si="11"/>
        <v>443104</v>
      </c>
      <c r="H70" s="86">
        <f t="shared" ref="H70:H133" si="12">ROUND(G70/5.77,0)</f>
        <v>76794</v>
      </c>
      <c r="I70" s="86">
        <f t="shared" si="9"/>
        <v>366310</v>
      </c>
      <c r="J70" s="86"/>
      <c r="K70" s="87"/>
      <c r="L70" s="107">
        <f t="shared" ref="L70:L134" si="13">+H70</f>
        <v>76794</v>
      </c>
      <c r="M70" s="107">
        <f t="shared" ref="M70:M134" si="14">+L70</f>
        <v>76794</v>
      </c>
      <c r="N70" s="107">
        <f t="shared" ref="N70:N134" si="15">+M70</f>
        <v>76794</v>
      </c>
      <c r="O70" s="107">
        <f t="shared" ref="O70:O134" si="16">+N70</f>
        <v>76794</v>
      </c>
      <c r="P70" s="108">
        <f t="shared" ref="P70:P134" si="17">I70-SUM(L70:O70)</f>
        <v>59134</v>
      </c>
      <c r="Q70" s="108">
        <f t="shared" si="8"/>
        <v>0</v>
      </c>
    </row>
    <row r="71" spans="1:17">
      <c r="A71" s="12">
        <v>2760</v>
      </c>
      <c r="B71" s="13" t="s">
        <v>65</v>
      </c>
      <c r="C71" s="138">
        <f>VLOOKUP(A71,'Contribution Allocation_Report'!$A$9:$D$314,4,FALSE)</f>
        <v>6.615128540147315E-4</v>
      </c>
      <c r="E71" s="144">
        <v>6.7929891822770064E-4</v>
      </c>
      <c r="F71" s="92"/>
      <c r="G71" s="101">
        <f t="shared" si="11"/>
        <v>-48627</v>
      </c>
      <c r="H71" s="86">
        <f t="shared" si="12"/>
        <v>-8428</v>
      </c>
      <c r="I71" s="86">
        <f t="shared" si="9"/>
        <v>-40199</v>
      </c>
      <c r="J71" s="86"/>
      <c r="K71" s="87"/>
      <c r="L71" s="107">
        <f t="shared" si="13"/>
        <v>-8428</v>
      </c>
      <c r="M71" s="107">
        <f t="shared" si="14"/>
        <v>-8428</v>
      </c>
      <c r="N71" s="107">
        <f t="shared" si="15"/>
        <v>-8428</v>
      </c>
      <c r="O71" s="107">
        <f t="shared" si="16"/>
        <v>-8428</v>
      </c>
      <c r="P71" s="108">
        <f t="shared" si="17"/>
        <v>-6487</v>
      </c>
      <c r="Q71" s="108">
        <f t="shared" ref="Q71:Q135" si="18">+I71-SUM(L71:P71)</f>
        <v>0</v>
      </c>
    </row>
    <row r="72" spans="1:17">
      <c r="A72" s="10">
        <v>2780</v>
      </c>
      <c r="B72" s="11" t="s">
        <v>66</v>
      </c>
      <c r="C72" s="137">
        <f>VLOOKUP(A72,'Contribution Allocation_Report'!$A$9:$D$314,4,FALSE)</f>
        <v>7.4019240091404247E-5</v>
      </c>
      <c r="E72" s="144">
        <v>5.9029188441858777E-5</v>
      </c>
      <c r="F72" s="92"/>
      <c r="G72" s="101">
        <f t="shared" si="11"/>
        <v>40982</v>
      </c>
      <c r="H72" s="86">
        <f t="shared" si="12"/>
        <v>7103</v>
      </c>
      <c r="I72" s="86">
        <f t="shared" ref="I72:I136" si="19">G72-H72</f>
        <v>33879</v>
      </c>
      <c r="J72" s="86"/>
      <c r="K72" s="87"/>
      <c r="L72" s="107">
        <f t="shared" si="13"/>
        <v>7103</v>
      </c>
      <c r="M72" s="107">
        <f t="shared" si="14"/>
        <v>7103</v>
      </c>
      <c r="N72" s="107">
        <f t="shared" si="15"/>
        <v>7103</v>
      </c>
      <c r="O72" s="107">
        <f t="shared" si="16"/>
        <v>7103</v>
      </c>
      <c r="P72" s="108">
        <f t="shared" si="17"/>
        <v>5467</v>
      </c>
      <c r="Q72" s="108">
        <f t="shared" si="18"/>
        <v>0</v>
      </c>
    </row>
    <row r="73" spans="1:17">
      <c r="A73" s="12">
        <v>2810</v>
      </c>
      <c r="B73" s="13" t="s">
        <v>67</v>
      </c>
      <c r="C73" s="138">
        <f>VLOOKUP(A73,'Contribution Allocation_Report'!$A$9:$D$314,4,FALSE)</f>
        <v>5.0311403986814311E-4</v>
      </c>
      <c r="E73" s="144">
        <v>5.2638678136880212E-4</v>
      </c>
      <c r="F73" s="92"/>
      <c r="G73" s="101">
        <f t="shared" si="11"/>
        <v>-63627</v>
      </c>
      <c r="H73" s="86">
        <f t="shared" si="12"/>
        <v>-11027</v>
      </c>
      <c r="I73" s="86">
        <f t="shared" si="19"/>
        <v>-52600</v>
      </c>
      <c r="J73" s="86"/>
      <c r="K73" s="87"/>
      <c r="L73" s="107">
        <f t="shared" si="13"/>
        <v>-11027</v>
      </c>
      <c r="M73" s="107">
        <f t="shared" si="14"/>
        <v>-11027</v>
      </c>
      <c r="N73" s="107">
        <f t="shared" si="15"/>
        <v>-11027</v>
      </c>
      <c r="O73" s="107">
        <f t="shared" si="16"/>
        <v>-11027</v>
      </c>
      <c r="P73" s="108">
        <f t="shared" si="17"/>
        <v>-8492</v>
      </c>
      <c r="Q73" s="108">
        <f t="shared" si="18"/>
        <v>0</v>
      </c>
    </row>
    <row r="74" spans="1:17">
      <c r="A74" s="10">
        <v>18056</v>
      </c>
      <c r="B74" s="11" t="s">
        <v>68</v>
      </c>
      <c r="C74" s="137">
        <f>VLOOKUP(A74,'Contribution Allocation_Report'!$A$9:$D$314,4,FALSE)</f>
        <v>6.7325948177580019E-4</v>
      </c>
      <c r="E74" s="144">
        <v>6.7388123533000416E-4</v>
      </c>
      <c r="F74" s="92"/>
      <c r="G74" s="101">
        <f t="shared" si="11"/>
        <v>-1700</v>
      </c>
      <c r="H74" s="86">
        <f t="shared" si="12"/>
        <v>-295</v>
      </c>
      <c r="I74" s="86">
        <f t="shared" si="19"/>
        <v>-1405</v>
      </c>
      <c r="J74" s="86"/>
      <c r="K74" s="87"/>
      <c r="L74" s="107">
        <f t="shared" si="13"/>
        <v>-295</v>
      </c>
      <c r="M74" s="107">
        <f t="shared" si="14"/>
        <v>-295</v>
      </c>
      <c r="N74" s="107">
        <f t="shared" si="15"/>
        <v>-295</v>
      </c>
      <c r="O74" s="107">
        <f t="shared" si="16"/>
        <v>-295</v>
      </c>
      <c r="P74" s="108">
        <f t="shared" si="17"/>
        <v>-225</v>
      </c>
      <c r="Q74" s="108">
        <f t="shared" si="18"/>
        <v>0</v>
      </c>
    </row>
    <row r="75" spans="1:17">
      <c r="A75" s="12">
        <v>15047</v>
      </c>
      <c r="B75" s="13" t="s">
        <v>69</v>
      </c>
      <c r="C75" s="138">
        <f>VLOOKUP(A75,'Contribution Allocation_Report'!$A$9:$D$314,4,FALSE)</f>
        <v>6.2074991725190201E-4</v>
      </c>
      <c r="E75" s="144">
        <v>6.1027449742530901E-4</v>
      </c>
      <c r="F75" s="92"/>
      <c r="G75" s="101">
        <f t="shared" si="11"/>
        <v>28640</v>
      </c>
      <c r="H75" s="86">
        <f t="shared" si="12"/>
        <v>4964</v>
      </c>
      <c r="I75" s="86">
        <f t="shared" si="19"/>
        <v>23676</v>
      </c>
      <c r="J75" s="86"/>
      <c r="K75" s="87"/>
      <c r="L75" s="107">
        <f t="shared" si="13"/>
        <v>4964</v>
      </c>
      <c r="M75" s="107">
        <f t="shared" si="14"/>
        <v>4964</v>
      </c>
      <c r="N75" s="107">
        <f t="shared" si="15"/>
        <v>4964</v>
      </c>
      <c r="O75" s="107">
        <f t="shared" si="16"/>
        <v>4964</v>
      </c>
      <c r="P75" s="108">
        <f t="shared" si="17"/>
        <v>3820</v>
      </c>
      <c r="Q75" s="108">
        <f t="shared" si="18"/>
        <v>0</v>
      </c>
    </row>
    <row r="76" spans="1:17">
      <c r="A76" s="10">
        <v>5012</v>
      </c>
      <c r="B76" s="11" t="s">
        <v>70</v>
      </c>
      <c r="C76" s="137">
        <f>VLOOKUP(A76,'Contribution Allocation_Report'!$A$9:$D$314,4,FALSE)</f>
        <v>9.9588249357886044E-3</v>
      </c>
      <c r="E76" s="144">
        <v>1.0569184827400593E-2</v>
      </c>
      <c r="F76" s="92"/>
      <c r="G76" s="101">
        <f t="shared" si="11"/>
        <v>-1668709</v>
      </c>
      <c r="H76" s="86">
        <f t="shared" si="12"/>
        <v>-289204</v>
      </c>
      <c r="I76" s="86">
        <f t="shared" si="19"/>
        <v>-1379505</v>
      </c>
      <c r="J76" s="86"/>
      <c r="K76" s="87"/>
      <c r="L76" s="107">
        <f t="shared" si="13"/>
        <v>-289204</v>
      </c>
      <c r="M76" s="107">
        <f t="shared" si="14"/>
        <v>-289204</v>
      </c>
      <c r="N76" s="107">
        <f t="shared" si="15"/>
        <v>-289204</v>
      </c>
      <c r="O76" s="107">
        <f t="shared" si="16"/>
        <v>-289204</v>
      </c>
      <c r="P76" s="108">
        <f t="shared" si="17"/>
        <v>-222689</v>
      </c>
      <c r="Q76" s="108">
        <f t="shared" si="18"/>
        <v>0</v>
      </c>
    </row>
    <row r="77" spans="1:17">
      <c r="A77" s="12">
        <v>8024</v>
      </c>
      <c r="B77" s="13" t="s">
        <v>71</v>
      </c>
      <c r="C77" s="138">
        <f>VLOOKUP(A77,'Contribution Allocation_Report'!$A$9:$D$314,4,FALSE)</f>
        <v>1.6138524493330079E-3</v>
      </c>
      <c r="E77" s="144">
        <v>1.9928514694887759E-3</v>
      </c>
      <c r="F77" s="92"/>
      <c r="G77" s="101">
        <f t="shared" si="11"/>
        <v>-1036174</v>
      </c>
      <c r="H77" s="86">
        <f t="shared" si="12"/>
        <v>-179580</v>
      </c>
      <c r="I77" s="86">
        <f t="shared" si="19"/>
        <v>-856594</v>
      </c>
      <c r="J77" s="86"/>
      <c r="K77" s="87"/>
      <c r="L77" s="107">
        <f t="shared" si="13"/>
        <v>-179580</v>
      </c>
      <c r="M77" s="107">
        <f t="shared" si="14"/>
        <v>-179580</v>
      </c>
      <c r="N77" s="107">
        <f t="shared" si="15"/>
        <v>-179580</v>
      </c>
      <c r="O77" s="107">
        <f t="shared" si="16"/>
        <v>-179580</v>
      </c>
      <c r="P77" s="108">
        <f t="shared" si="17"/>
        <v>-138274</v>
      </c>
      <c r="Q77" s="108">
        <f t="shared" si="18"/>
        <v>0</v>
      </c>
    </row>
    <row r="78" spans="1:17">
      <c r="A78" s="10">
        <v>3050</v>
      </c>
      <c r="B78" s="11" t="s">
        <v>72</v>
      </c>
      <c r="C78" s="137">
        <f>VLOOKUP(A78,'Contribution Allocation_Report'!$A$9:$D$314,4,FALSE)</f>
        <v>6.6058374221442107E-4</v>
      </c>
      <c r="E78" s="144">
        <v>7.4171219555203361E-4</v>
      </c>
      <c r="F78" s="92"/>
      <c r="G78" s="101">
        <f t="shared" si="11"/>
        <v>-221803</v>
      </c>
      <c r="H78" s="86">
        <f t="shared" si="12"/>
        <v>-38441</v>
      </c>
      <c r="I78" s="86">
        <f t="shared" si="19"/>
        <v>-183362</v>
      </c>
      <c r="J78" s="86"/>
      <c r="K78" s="87"/>
      <c r="L78" s="107">
        <f t="shared" si="13"/>
        <v>-38441</v>
      </c>
      <c r="M78" s="107">
        <f t="shared" si="14"/>
        <v>-38441</v>
      </c>
      <c r="N78" s="107">
        <f t="shared" si="15"/>
        <v>-38441</v>
      </c>
      <c r="O78" s="107">
        <f t="shared" si="16"/>
        <v>-38441</v>
      </c>
      <c r="P78" s="108">
        <f t="shared" si="17"/>
        <v>-29598</v>
      </c>
      <c r="Q78" s="108">
        <f t="shared" si="18"/>
        <v>0</v>
      </c>
    </row>
    <row r="79" spans="1:17">
      <c r="A79" s="12">
        <v>2421</v>
      </c>
      <c r="B79" s="13" t="s">
        <v>73</v>
      </c>
      <c r="C79" s="138">
        <f>VLOOKUP(A79,'Contribution Allocation_Report'!$A$9:$D$314,4,FALSE)</f>
        <v>2.6009231286152728E-4</v>
      </c>
      <c r="E79" s="144">
        <v>2.4392135782585591E-4</v>
      </c>
      <c r="F79" s="92"/>
      <c r="G79" s="101">
        <f t="shared" si="11"/>
        <v>44211</v>
      </c>
      <c r="H79" s="86">
        <f t="shared" si="12"/>
        <v>7662</v>
      </c>
      <c r="I79" s="86">
        <f t="shared" si="19"/>
        <v>36549</v>
      </c>
      <c r="J79" s="86"/>
      <c r="K79" s="87"/>
      <c r="L79" s="107">
        <f t="shared" si="13"/>
        <v>7662</v>
      </c>
      <c r="M79" s="107">
        <f t="shared" si="14"/>
        <v>7662</v>
      </c>
      <c r="N79" s="107">
        <f t="shared" si="15"/>
        <v>7662</v>
      </c>
      <c r="O79" s="107">
        <f t="shared" si="16"/>
        <v>7662</v>
      </c>
      <c r="P79" s="108">
        <f t="shared" si="17"/>
        <v>5901</v>
      </c>
      <c r="Q79" s="108">
        <f t="shared" si="18"/>
        <v>0</v>
      </c>
    </row>
    <row r="80" spans="1:17">
      <c r="A80" s="10">
        <v>26079</v>
      </c>
      <c r="B80" s="11" t="s">
        <v>74</v>
      </c>
      <c r="C80" s="137">
        <f>VLOOKUP(A80,'Contribution Allocation_Report'!$A$9:$D$314,4,FALSE)</f>
        <v>2.6058636437439078E-4</v>
      </c>
      <c r="E80" s="144">
        <v>2.59200793940229E-4</v>
      </c>
      <c r="F80" s="92"/>
      <c r="G80" s="101">
        <f t="shared" si="11"/>
        <v>3788</v>
      </c>
      <c r="H80" s="86">
        <f t="shared" si="12"/>
        <v>656</v>
      </c>
      <c r="I80" s="86">
        <f t="shared" si="19"/>
        <v>3132</v>
      </c>
      <c r="J80" s="86"/>
      <c r="K80" s="87"/>
      <c r="L80" s="107">
        <f t="shared" si="13"/>
        <v>656</v>
      </c>
      <c r="M80" s="107">
        <f t="shared" si="14"/>
        <v>656</v>
      </c>
      <c r="N80" s="107">
        <f t="shared" si="15"/>
        <v>656</v>
      </c>
      <c r="O80" s="107">
        <f t="shared" si="16"/>
        <v>656</v>
      </c>
      <c r="P80" s="108">
        <f t="shared" si="17"/>
        <v>508</v>
      </c>
      <c r="Q80" s="108">
        <f t="shared" si="18"/>
        <v>0</v>
      </c>
    </row>
    <row r="81" spans="1:17">
      <c r="A81" s="12">
        <v>2363</v>
      </c>
      <c r="B81" s="13" t="s">
        <v>75</v>
      </c>
      <c r="C81" s="138">
        <f>VLOOKUP(A81,'Contribution Allocation_Report'!$A$9:$D$314,4,FALSE)</f>
        <v>2.8256796974522922E-4</v>
      </c>
      <c r="E81" s="144">
        <v>2.946120256338687E-4</v>
      </c>
      <c r="F81" s="92"/>
      <c r="G81" s="101">
        <f t="shared" si="11"/>
        <v>-32928</v>
      </c>
      <c r="H81" s="86">
        <f t="shared" si="12"/>
        <v>-5707</v>
      </c>
      <c r="I81" s="86">
        <f t="shared" si="19"/>
        <v>-27221</v>
      </c>
      <c r="J81" s="86"/>
      <c r="K81" s="87"/>
      <c r="L81" s="107">
        <f t="shared" si="13"/>
        <v>-5707</v>
      </c>
      <c r="M81" s="107">
        <f t="shared" si="14"/>
        <v>-5707</v>
      </c>
      <c r="N81" s="107">
        <f t="shared" si="15"/>
        <v>-5707</v>
      </c>
      <c r="O81" s="107">
        <f t="shared" si="16"/>
        <v>-5707</v>
      </c>
      <c r="P81" s="108">
        <f t="shared" si="17"/>
        <v>-4393</v>
      </c>
      <c r="Q81" s="108">
        <f t="shared" si="18"/>
        <v>0</v>
      </c>
    </row>
    <row r="82" spans="1:17">
      <c r="A82" s="10">
        <v>2364</v>
      </c>
      <c r="B82" s="11" t="s">
        <v>76</v>
      </c>
      <c r="C82" s="137">
        <f>VLOOKUP(A82,'Contribution Allocation_Report'!$A$9:$D$314,4,FALSE)</f>
        <v>9.8147388677087034E-4</v>
      </c>
      <c r="E82" s="144">
        <v>9.5962867546894621E-4</v>
      </c>
      <c r="F82" s="92"/>
      <c r="G82" s="101">
        <f t="shared" si="11"/>
        <v>59724</v>
      </c>
      <c r="H82" s="86">
        <f t="shared" si="12"/>
        <v>10351</v>
      </c>
      <c r="I82" s="86">
        <f t="shared" si="19"/>
        <v>49373</v>
      </c>
      <c r="J82" s="86"/>
      <c r="K82" s="87"/>
      <c r="L82" s="107">
        <f t="shared" si="13"/>
        <v>10351</v>
      </c>
      <c r="M82" s="107">
        <f t="shared" si="14"/>
        <v>10351</v>
      </c>
      <c r="N82" s="107">
        <f t="shared" si="15"/>
        <v>10351</v>
      </c>
      <c r="O82" s="107">
        <f t="shared" si="16"/>
        <v>10351</v>
      </c>
      <c r="P82" s="108">
        <f t="shared" si="17"/>
        <v>7969</v>
      </c>
      <c r="Q82" s="108">
        <f t="shared" si="18"/>
        <v>0</v>
      </c>
    </row>
    <row r="83" spans="1:17">
      <c r="A83" s="12">
        <v>25319</v>
      </c>
      <c r="B83" s="13" t="s">
        <v>77</v>
      </c>
      <c r="C83" s="138">
        <f>VLOOKUP(A83,'Contribution Allocation_Report'!$A$9:$D$314,4,FALSE)</f>
        <v>2.2690237466154614E-4</v>
      </c>
      <c r="E83" s="144">
        <v>1.9251618401249472E-4</v>
      </c>
      <c r="F83" s="92"/>
      <c r="G83" s="101">
        <f t="shared" si="11"/>
        <v>94011</v>
      </c>
      <c r="H83" s="86">
        <f t="shared" si="12"/>
        <v>16293</v>
      </c>
      <c r="I83" s="86">
        <f t="shared" si="19"/>
        <v>77718</v>
      </c>
      <c r="J83" s="86"/>
      <c r="K83" s="87"/>
      <c r="L83" s="107">
        <f t="shared" si="13"/>
        <v>16293</v>
      </c>
      <c r="M83" s="107">
        <f t="shared" si="14"/>
        <v>16293</v>
      </c>
      <c r="N83" s="107">
        <f t="shared" si="15"/>
        <v>16293</v>
      </c>
      <c r="O83" s="107">
        <f t="shared" si="16"/>
        <v>16293</v>
      </c>
      <c r="P83" s="108">
        <f t="shared" si="17"/>
        <v>12546</v>
      </c>
      <c r="Q83" s="108">
        <f t="shared" si="18"/>
        <v>0</v>
      </c>
    </row>
    <row r="84" spans="1:17">
      <c r="A84" s="10">
        <v>29087</v>
      </c>
      <c r="B84" s="11" t="s">
        <v>78</v>
      </c>
      <c r="C84" s="137">
        <f>VLOOKUP(A84,'Contribution Allocation_Report'!$A$9:$D$314,4,FALSE)</f>
        <v>1.926410083299371E-3</v>
      </c>
      <c r="E84" s="144">
        <v>1.9240390449736854E-3</v>
      </c>
      <c r="F84" s="92"/>
      <c r="G84" s="101">
        <f t="shared" si="11"/>
        <v>6482</v>
      </c>
      <c r="H84" s="86">
        <f t="shared" si="12"/>
        <v>1123</v>
      </c>
      <c r="I84" s="86">
        <f t="shared" si="19"/>
        <v>5359</v>
      </c>
      <c r="J84" s="86"/>
      <c r="K84" s="87"/>
      <c r="L84" s="107">
        <f t="shared" si="13"/>
        <v>1123</v>
      </c>
      <c r="M84" s="107">
        <f t="shared" si="14"/>
        <v>1123</v>
      </c>
      <c r="N84" s="107">
        <f t="shared" si="15"/>
        <v>1123</v>
      </c>
      <c r="O84" s="107">
        <f t="shared" si="16"/>
        <v>1123</v>
      </c>
      <c r="P84" s="108">
        <f t="shared" si="17"/>
        <v>867</v>
      </c>
      <c r="Q84" s="108">
        <f t="shared" si="18"/>
        <v>0</v>
      </c>
    </row>
    <row r="85" spans="1:17">
      <c r="A85" s="12">
        <v>3060</v>
      </c>
      <c r="B85" s="13" t="s">
        <v>79</v>
      </c>
      <c r="C85" s="138">
        <f>VLOOKUP(A85,'Contribution Allocation_Report'!$A$9:$D$314,4,FALSE)</f>
        <v>1.105178486469356E-3</v>
      </c>
      <c r="E85" s="144">
        <v>1.1178799780820964E-3</v>
      </c>
      <c r="F85" s="92"/>
      <c r="G85" s="101">
        <f t="shared" si="11"/>
        <v>-34726</v>
      </c>
      <c r="H85" s="86">
        <f t="shared" si="12"/>
        <v>-6018</v>
      </c>
      <c r="I85" s="86">
        <f t="shared" si="19"/>
        <v>-28708</v>
      </c>
      <c r="J85" s="86"/>
      <c r="K85" s="87"/>
      <c r="L85" s="107">
        <f t="shared" si="13"/>
        <v>-6018</v>
      </c>
      <c r="M85" s="107">
        <f t="shared" si="14"/>
        <v>-6018</v>
      </c>
      <c r="N85" s="107">
        <f t="shared" si="15"/>
        <v>-6018</v>
      </c>
      <c r="O85" s="107">
        <f t="shared" si="16"/>
        <v>-6018</v>
      </c>
      <c r="P85" s="108">
        <f t="shared" si="17"/>
        <v>-4636</v>
      </c>
      <c r="Q85" s="108">
        <f t="shared" si="18"/>
        <v>0</v>
      </c>
    </row>
    <row r="86" spans="1:17">
      <c r="A86" s="10">
        <v>19301</v>
      </c>
      <c r="B86" s="11" t="s">
        <v>80</v>
      </c>
      <c r="C86" s="137">
        <f>VLOOKUP(A86,'Contribution Allocation_Report'!$A$9:$D$314,4,FALSE)</f>
        <v>1.9943458532696944E-4</v>
      </c>
      <c r="E86" s="144">
        <v>2.2002859107557972E-4</v>
      </c>
      <c r="F86" s="92"/>
      <c r="G86" s="101">
        <f t="shared" si="11"/>
        <v>-56303</v>
      </c>
      <c r="H86" s="86">
        <f t="shared" si="12"/>
        <v>-9758</v>
      </c>
      <c r="I86" s="86">
        <f t="shared" si="19"/>
        <v>-46545</v>
      </c>
      <c r="J86" s="86"/>
      <c r="K86" s="87"/>
      <c r="L86" s="107">
        <f t="shared" si="13"/>
        <v>-9758</v>
      </c>
      <c r="M86" s="107">
        <f t="shared" si="14"/>
        <v>-9758</v>
      </c>
      <c r="N86" s="107">
        <f t="shared" si="15"/>
        <v>-9758</v>
      </c>
      <c r="O86" s="107">
        <f t="shared" si="16"/>
        <v>-9758</v>
      </c>
      <c r="P86" s="108">
        <f t="shared" si="17"/>
        <v>-7513</v>
      </c>
      <c r="Q86" s="108">
        <f t="shared" si="18"/>
        <v>0</v>
      </c>
    </row>
    <row r="87" spans="1:17">
      <c r="A87" s="12">
        <v>19059</v>
      </c>
      <c r="B87" s="13" t="s">
        <v>81</v>
      </c>
      <c r="C87" s="138">
        <f>VLOOKUP(A87,'Contribution Allocation_Report'!$A$9:$D$314,4,FALSE)</f>
        <v>6.8746088190451459E-3</v>
      </c>
      <c r="E87" s="144">
        <v>7.0360625549536577E-3</v>
      </c>
      <c r="F87" s="92"/>
      <c r="G87" s="101">
        <f t="shared" si="11"/>
        <v>-441410</v>
      </c>
      <c r="H87" s="86">
        <f t="shared" si="12"/>
        <v>-76501</v>
      </c>
      <c r="I87" s="86">
        <f t="shared" si="19"/>
        <v>-364909</v>
      </c>
      <c r="J87" s="86"/>
      <c r="K87" s="87"/>
      <c r="L87" s="107">
        <f t="shared" si="13"/>
        <v>-76501</v>
      </c>
      <c r="M87" s="107">
        <f t="shared" si="14"/>
        <v>-76501</v>
      </c>
      <c r="N87" s="107">
        <f t="shared" si="15"/>
        <v>-76501</v>
      </c>
      <c r="O87" s="107">
        <f t="shared" si="16"/>
        <v>-76501</v>
      </c>
      <c r="P87" s="108">
        <f t="shared" si="17"/>
        <v>-58905</v>
      </c>
      <c r="Q87" s="108">
        <f t="shared" si="18"/>
        <v>0</v>
      </c>
    </row>
    <row r="88" spans="1:17">
      <c r="A88" s="10">
        <v>18057</v>
      </c>
      <c r="B88" s="11" t="s">
        <v>82</v>
      </c>
      <c r="C88" s="137">
        <f>VLOOKUP(A88,'Contribution Allocation_Report'!$A$9:$D$314,4,FALSE)</f>
        <v>2.9491925756681736E-4</v>
      </c>
      <c r="E88" s="144">
        <v>2.9820811080364409E-4</v>
      </c>
      <c r="F88" s="92"/>
      <c r="G88" s="101">
        <f t="shared" si="11"/>
        <v>-8992</v>
      </c>
      <c r="H88" s="86">
        <f t="shared" si="12"/>
        <v>-1558</v>
      </c>
      <c r="I88" s="86">
        <f t="shared" si="19"/>
        <v>-7434</v>
      </c>
      <c r="J88" s="86"/>
      <c r="K88" s="87"/>
      <c r="L88" s="107">
        <f t="shared" si="13"/>
        <v>-1558</v>
      </c>
      <c r="M88" s="107">
        <f t="shared" si="14"/>
        <v>-1558</v>
      </c>
      <c r="N88" s="107">
        <f t="shared" si="15"/>
        <v>-1558</v>
      </c>
      <c r="O88" s="107">
        <f t="shared" si="16"/>
        <v>-1558</v>
      </c>
      <c r="P88" s="108">
        <f t="shared" si="17"/>
        <v>-1202</v>
      </c>
      <c r="Q88" s="108">
        <f t="shared" si="18"/>
        <v>0</v>
      </c>
    </row>
    <row r="89" spans="1:17">
      <c r="A89" s="12">
        <v>4008</v>
      </c>
      <c r="B89" s="13" t="s">
        <v>83</v>
      </c>
      <c r="C89" s="138">
        <f>VLOOKUP(A89,'Contribution Allocation_Report'!$A$9:$D$314,4,FALSE)</f>
        <v>1.1354631068175723E-3</v>
      </c>
      <c r="E89" s="144">
        <v>1.1763752499485301E-3</v>
      </c>
      <c r="F89" s="92"/>
      <c r="G89" s="101">
        <f t="shared" si="11"/>
        <v>-111853</v>
      </c>
      <c r="H89" s="86">
        <f t="shared" si="12"/>
        <v>-19385</v>
      </c>
      <c r="I89" s="86">
        <f t="shared" si="19"/>
        <v>-92468</v>
      </c>
      <c r="J89" s="86"/>
      <c r="K89" s="87"/>
      <c r="L89" s="107">
        <f t="shared" si="13"/>
        <v>-19385</v>
      </c>
      <c r="M89" s="107">
        <f t="shared" si="14"/>
        <v>-19385</v>
      </c>
      <c r="N89" s="107">
        <f t="shared" si="15"/>
        <v>-19385</v>
      </c>
      <c r="O89" s="107">
        <f t="shared" si="16"/>
        <v>-19385</v>
      </c>
      <c r="P89" s="108">
        <f t="shared" si="17"/>
        <v>-14928</v>
      </c>
      <c r="Q89" s="108">
        <f t="shared" si="18"/>
        <v>0</v>
      </c>
    </row>
    <row r="90" spans="1:17">
      <c r="A90" s="10">
        <v>2350</v>
      </c>
      <c r="B90" s="11" t="s">
        <v>84</v>
      </c>
      <c r="C90" s="137">
        <f>VLOOKUP(A90,'Contribution Allocation_Report'!$A$9:$D$314,4,FALSE)</f>
        <v>3.3462035227214916E-4</v>
      </c>
      <c r="E90" s="144">
        <v>3.87230848041446E-4</v>
      </c>
      <c r="F90" s="92"/>
      <c r="G90" s="101">
        <f t="shared" si="11"/>
        <v>-143836</v>
      </c>
      <c r="H90" s="86">
        <f t="shared" si="12"/>
        <v>-24928</v>
      </c>
      <c r="I90" s="86">
        <f t="shared" si="19"/>
        <v>-118908</v>
      </c>
      <c r="J90" s="86"/>
      <c r="K90" s="87"/>
      <c r="L90" s="107">
        <f t="shared" si="13"/>
        <v>-24928</v>
      </c>
      <c r="M90" s="107">
        <f t="shared" si="14"/>
        <v>-24928</v>
      </c>
      <c r="N90" s="107">
        <f t="shared" si="15"/>
        <v>-24928</v>
      </c>
      <c r="O90" s="107">
        <f t="shared" si="16"/>
        <v>-24928</v>
      </c>
      <c r="P90" s="108">
        <f t="shared" si="17"/>
        <v>-19196</v>
      </c>
      <c r="Q90" s="108">
        <f t="shared" si="18"/>
        <v>0</v>
      </c>
    </row>
    <row r="91" spans="1:17">
      <c r="A91" s="12">
        <v>11117</v>
      </c>
      <c r="B91" s="13" t="s">
        <v>85</v>
      </c>
      <c r="C91" s="138">
        <f>VLOOKUP(A91,'Contribution Allocation_Report'!$A$9:$D$314,4,FALSE)</f>
        <v>3.9246862269624427E-4</v>
      </c>
      <c r="E91" s="144">
        <v>3.7044388277293123E-4</v>
      </c>
      <c r="F91" s="92"/>
      <c r="G91" s="101">
        <f t="shared" si="11"/>
        <v>60215</v>
      </c>
      <c r="H91" s="86">
        <f t="shared" si="12"/>
        <v>10436</v>
      </c>
      <c r="I91" s="86">
        <f t="shared" si="19"/>
        <v>49779</v>
      </c>
      <c r="J91" s="86"/>
      <c r="K91" s="87"/>
      <c r="L91" s="107">
        <f t="shared" si="13"/>
        <v>10436</v>
      </c>
      <c r="M91" s="107">
        <f t="shared" si="14"/>
        <v>10436</v>
      </c>
      <c r="N91" s="107">
        <f t="shared" si="15"/>
        <v>10436</v>
      </c>
      <c r="O91" s="107">
        <f t="shared" si="16"/>
        <v>10436</v>
      </c>
      <c r="P91" s="108">
        <f t="shared" si="17"/>
        <v>8035</v>
      </c>
      <c r="Q91" s="108">
        <f t="shared" si="18"/>
        <v>0</v>
      </c>
    </row>
    <row r="92" spans="1:17">
      <c r="A92" s="10">
        <v>16359</v>
      </c>
      <c r="B92" s="11" t="s">
        <v>86</v>
      </c>
      <c r="C92" s="137">
        <f>VLOOKUP(A92,'Contribution Allocation_Report'!$A$9:$D$314,4,FALSE)</f>
        <v>7.5427655598224154E-5</v>
      </c>
      <c r="E92" s="144">
        <v>8.0487923745343744E-5</v>
      </c>
      <c r="F92" s="92"/>
      <c r="G92" s="101">
        <f t="shared" si="11"/>
        <v>-13835</v>
      </c>
      <c r="H92" s="86">
        <f t="shared" si="12"/>
        <v>-2398</v>
      </c>
      <c r="I92" s="86">
        <f t="shared" si="19"/>
        <v>-11437</v>
      </c>
      <c r="J92" s="86"/>
      <c r="K92" s="87"/>
      <c r="L92" s="107">
        <f t="shared" si="13"/>
        <v>-2398</v>
      </c>
      <c r="M92" s="107">
        <f t="shared" si="14"/>
        <v>-2398</v>
      </c>
      <c r="N92" s="107">
        <f t="shared" si="15"/>
        <v>-2398</v>
      </c>
      <c r="O92" s="107">
        <f t="shared" si="16"/>
        <v>-2398</v>
      </c>
      <c r="P92" s="108">
        <f t="shared" si="17"/>
        <v>-1845</v>
      </c>
      <c r="Q92" s="108">
        <f t="shared" si="18"/>
        <v>0</v>
      </c>
    </row>
    <row r="93" spans="1:17">
      <c r="A93" s="12">
        <v>17115</v>
      </c>
      <c r="B93" s="13" t="s">
        <v>87</v>
      </c>
      <c r="C93" s="138">
        <f>VLOOKUP(A93,'Contribution Allocation_Report'!$A$9:$D$314,4,FALSE)</f>
        <v>1.4471727419185726E-3</v>
      </c>
      <c r="E93" s="144">
        <v>1.4314538938579031E-3</v>
      </c>
      <c r="F93" s="92"/>
      <c r="G93" s="101">
        <f t="shared" si="11"/>
        <v>42975</v>
      </c>
      <c r="H93" s="86">
        <f t="shared" si="12"/>
        <v>7448</v>
      </c>
      <c r="I93" s="86">
        <f t="shared" si="19"/>
        <v>35527</v>
      </c>
      <c r="J93" s="86"/>
      <c r="K93" s="87"/>
      <c r="L93" s="107">
        <f t="shared" si="13"/>
        <v>7448</v>
      </c>
      <c r="M93" s="107">
        <f t="shared" si="14"/>
        <v>7448</v>
      </c>
      <c r="N93" s="107">
        <f t="shared" si="15"/>
        <v>7448</v>
      </c>
      <c r="O93" s="107">
        <f t="shared" si="16"/>
        <v>7448</v>
      </c>
      <c r="P93" s="108">
        <f t="shared" si="17"/>
        <v>5735</v>
      </c>
      <c r="Q93" s="108">
        <f t="shared" si="18"/>
        <v>0</v>
      </c>
    </row>
    <row r="94" spans="1:17">
      <c r="A94" s="10">
        <v>13437</v>
      </c>
      <c r="B94" s="11" t="s">
        <v>88</v>
      </c>
      <c r="C94" s="137">
        <f>VLOOKUP(A94,'Contribution Allocation_Report'!$A$9:$D$314,4,FALSE)</f>
        <v>1.3757491157454963E-4</v>
      </c>
      <c r="E94" s="144">
        <v>1.1459577085779846E-4</v>
      </c>
      <c r="F94" s="92"/>
      <c r="G94" s="101">
        <f t="shared" si="11"/>
        <v>62824</v>
      </c>
      <c r="H94" s="86">
        <f t="shared" si="12"/>
        <v>10888</v>
      </c>
      <c r="I94" s="86">
        <f t="shared" si="19"/>
        <v>51936</v>
      </c>
      <c r="J94" s="86"/>
      <c r="K94" s="87"/>
      <c r="L94" s="107">
        <f t="shared" si="13"/>
        <v>10888</v>
      </c>
      <c r="M94" s="107">
        <f t="shared" si="14"/>
        <v>10888</v>
      </c>
      <c r="N94" s="107">
        <f t="shared" si="15"/>
        <v>10888</v>
      </c>
      <c r="O94" s="107">
        <f t="shared" si="16"/>
        <v>10888</v>
      </c>
      <c r="P94" s="108">
        <f t="shared" si="17"/>
        <v>8384</v>
      </c>
      <c r="Q94" s="108">
        <f t="shared" si="18"/>
        <v>0</v>
      </c>
    </row>
    <row r="95" spans="1:17">
      <c r="A95" s="12">
        <v>2304</v>
      </c>
      <c r="B95" s="13" t="s">
        <v>89</v>
      </c>
      <c r="C95" s="138">
        <f>VLOOKUP(A95,'Contribution Allocation_Report'!$A$9:$D$314,4,FALSE)</f>
        <v>5.1956521785618084E-4</v>
      </c>
      <c r="E95" s="144">
        <v>5.0711867436742917E-4</v>
      </c>
      <c r="F95" s="92"/>
      <c r="G95" s="101">
        <f t="shared" si="11"/>
        <v>34029</v>
      </c>
      <c r="H95" s="86">
        <f t="shared" si="12"/>
        <v>5898</v>
      </c>
      <c r="I95" s="86">
        <f t="shared" si="19"/>
        <v>28131</v>
      </c>
      <c r="K95" s="87"/>
      <c r="L95" s="107">
        <f t="shared" si="13"/>
        <v>5898</v>
      </c>
      <c r="M95" s="107">
        <f t="shared" si="14"/>
        <v>5898</v>
      </c>
      <c r="N95" s="107">
        <f t="shared" si="15"/>
        <v>5898</v>
      </c>
      <c r="O95" s="107">
        <f t="shared" si="16"/>
        <v>5898</v>
      </c>
      <c r="P95" s="108">
        <f t="shared" si="17"/>
        <v>4539</v>
      </c>
      <c r="Q95" s="108">
        <f t="shared" si="18"/>
        <v>0</v>
      </c>
    </row>
    <row r="96" spans="1:17">
      <c r="A96" s="10">
        <v>11101</v>
      </c>
      <c r="B96" s="11" t="s">
        <v>91</v>
      </c>
      <c r="C96" s="137">
        <f>VLOOKUP(A96,'Contribution Allocation_Report'!$A$9:$D$314,4,FALSE)</f>
        <v>5.9058254196420086E-3</v>
      </c>
      <c r="E96" s="144">
        <v>5.854583690681211E-3</v>
      </c>
      <c r="F96" s="92"/>
      <c r="G96" s="101">
        <f t="shared" si="11"/>
        <v>140094</v>
      </c>
      <c r="H96" s="86">
        <f t="shared" si="12"/>
        <v>24280</v>
      </c>
      <c r="I96" s="86">
        <f t="shared" si="19"/>
        <v>115814</v>
      </c>
      <c r="J96" s="86"/>
      <c r="K96" s="87"/>
      <c r="L96" s="107">
        <f t="shared" si="13"/>
        <v>24280</v>
      </c>
      <c r="M96" s="107">
        <f t="shared" si="14"/>
        <v>24280</v>
      </c>
      <c r="N96" s="107">
        <f t="shared" si="15"/>
        <v>24280</v>
      </c>
      <c r="O96" s="107">
        <f t="shared" si="16"/>
        <v>24280</v>
      </c>
      <c r="P96" s="108">
        <f t="shared" si="17"/>
        <v>18694</v>
      </c>
      <c r="Q96" s="108">
        <f t="shared" si="18"/>
        <v>0</v>
      </c>
    </row>
    <row r="97" spans="1:17">
      <c r="A97" s="12">
        <v>11102</v>
      </c>
      <c r="B97" s="13" t="s">
        <v>90</v>
      </c>
      <c r="C97" s="138">
        <f>VLOOKUP(A97,'Contribution Allocation_Report'!$A$9:$D$314,4,FALSE)</f>
        <v>1.914184151831793E-3</v>
      </c>
      <c r="E97" s="144">
        <v>2.0338217149383129E-3</v>
      </c>
      <c r="F97" s="92"/>
      <c r="G97" s="101">
        <f t="shared" si="11"/>
        <v>-327086</v>
      </c>
      <c r="H97" s="86">
        <f t="shared" si="12"/>
        <v>-56687</v>
      </c>
      <c r="I97" s="86">
        <f t="shared" si="19"/>
        <v>-270399</v>
      </c>
      <c r="J97" s="86"/>
      <c r="K97" s="87"/>
      <c r="L97" s="107">
        <f t="shared" si="13"/>
        <v>-56687</v>
      </c>
      <c r="M97" s="107">
        <f t="shared" si="14"/>
        <v>-56687</v>
      </c>
      <c r="N97" s="107">
        <f t="shared" si="15"/>
        <v>-56687</v>
      </c>
      <c r="O97" s="107">
        <f t="shared" si="16"/>
        <v>-56687</v>
      </c>
      <c r="P97" s="108">
        <f t="shared" si="17"/>
        <v>-43651</v>
      </c>
      <c r="Q97" s="108">
        <f t="shared" si="18"/>
        <v>0</v>
      </c>
    </row>
    <row r="98" spans="1:17">
      <c r="A98" s="10">
        <v>3100</v>
      </c>
      <c r="B98" s="11" t="s">
        <v>92</v>
      </c>
      <c r="C98" s="137">
        <f>VLOOKUP(A98,'Contribution Allocation_Report'!$A$9:$D$314,4,FALSE)</f>
        <v>4.0143381417892298E-3</v>
      </c>
      <c r="E98" s="144">
        <v>4.1629082800182958E-3</v>
      </c>
      <c r="F98" s="92"/>
      <c r="G98" s="101">
        <f t="shared" si="11"/>
        <v>-406187</v>
      </c>
      <c r="H98" s="86">
        <f t="shared" si="12"/>
        <v>-70396</v>
      </c>
      <c r="I98" s="86">
        <f t="shared" si="19"/>
        <v>-335791</v>
      </c>
      <c r="J98" s="86"/>
      <c r="K98" s="87"/>
      <c r="L98" s="107">
        <f t="shared" si="13"/>
        <v>-70396</v>
      </c>
      <c r="M98" s="107">
        <f t="shared" si="14"/>
        <v>-70396</v>
      </c>
      <c r="N98" s="107">
        <f t="shared" si="15"/>
        <v>-70396</v>
      </c>
      <c r="O98" s="107">
        <f t="shared" si="16"/>
        <v>-70396</v>
      </c>
      <c r="P98" s="108">
        <f t="shared" si="17"/>
        <v>-54207</v>
      </c>
      <c r="Q98" s="108">
        <f t="shared" si="18"/>
        <v>0</v>
      </c>
    </row>
    <row r="99" spans="1:17">
      <c r="A99" s="12">
        <v>2323</v>
      </c>
      <c r="B99" s="13" t="s">
        <v>93</v>
      </c>
      <c r="C99" s="138">
        <f>VLOOKUP(A99,'Contribution Allocation_Report'!$A$9:$D$314,4,FALSE)</f>
        <v>3.8253597511673425E-4</v>
      </c>
      <c r="E99" s="144">
        <v>4.1116287336344463E-4</v>
      </c>
      <c r="F99" s="92"/>
      <c r="G99" s="101">
        <f t="shared" si="11"/>
        <v>-78265</v>
      </c>
      <c r="H99" s="86">
        <f t="shared" si="12"/>
        <v>-13564</v>
      </c>
      <c r="I99" s="86">
        <f t="shared" si="19"/>
        <v>-64701</v>
      </c>
      <c r="J99" s="86"/>
      <c r="K99" s="87"/>
      <c r="L99" s="107">
        <f t="shared" si="13"/>
        <v>-13564</v>
      </c>
      <c r="M99" s="107">
        <f t="shared" si="14"/>
        <v>-13564</v>
      </c>
      <c r="N99" s="107">
        <f t="shared" si="15"/>
        <v>-13564</v>
      </c>
      <c r="O99" s="107">
        <f t="shared" si="16"/>
        <v>-13564</v>
      </c>
      <c r="P99" s="108">
        <f t="shared" si="17"/>
        <v>-10445</v>
      </c>
      <c r="Q99" s="108">
        <f t="shared" si="18"/>
        <v>0</v>
      </c>
    </row>
    <row r="100" spans="1:17">
      <c r="A100" s="10">
        <v>11034</v>
      </c>
      <c r="B100" s="11" t="s">
        <v>94</v>
      </c>
      <c r="C100" s="137">
        <f>VLOOKUP(A100,'Contribution Allocation_Report'!$A$9:$D$314,4,FALSE)</f>
        <v>3.3242292912538305E-4</v>
      </c>
      <c r="E100" s="144">
        <v>3.1889737810136928E-4</v>
      </c>
      <c r="F100" s="92"/>
      <c r="G100" s="101">
        <f t="shared" si="11"/>
        <v>36979</v>
      </c>
      <c r="H100" s="86">
        <f t="shared" si="12"/>
        <v>6409</v>
      </c>
      <c r="I100" s="86">
        <f t="shared" si="19"/>
        <v>30570</v>
      </c>
      <c r="J100" s="86"/>
      <c r="K100" s="87"/>
      <c r="L100" s="107">
        <f t="shared" si="13"/>
        <v>6409</v>
      </c>
      <c r="M100" s="107">
        <f t="shared" si="14"/>
        <v>6409</v>
      </c>
      <c r="N100" s="107">
        <f t="shared" si="15"/>
        <v>6409</v>
      </c>
      <c r="O100" s="107">
        <f t="shared" si="16"/>
        <v>6409</v>
      </c>
      <c r="P100" s="108">
        <f t="shared" si="17"/>
        <v>4934</v>
      </c>
      <c r="Q100" s="108">
        <f t="shared" si="18"/>
        <v>0</v>
      </c>
    </row>
    <row r="101" spans="1:17">
      <c r="A101" s="10">
        <v>588001</v>
      </c>
      <c r="B101" s="11" t="s">
        <v>475</v>
      </c>
      <c r="C101" s="137">
        <f>VLOOKUP(A101,'Contribution Allocation_Report'!$A$9:$D$314,4,FALSE)</f>
        <v>1.1532784568933676E-5</v>
      </c>
      <c r="E101" s="144">
        <v>0</v>
      </c>
      <c r="F101" s="92"/>
      <c r="G101" s="101">
        <f t="shared" si="11"/>
        <v>31530</v>
      </c>
      <c r="H101" s="86">
        <f t="shared" si="12"/>
        <v>5464</v>
      </c>
      <c r="I101" s="86">
        <f t="shared" ref="I101" si="20">G101-H101</f>
        <v>26066</v>
      </c>
      <c r="J101" s="86"/>
      <c r="K101" s="87"/>
      <c r="L101" s="107">
        <f t="shared" ref="L101" si="21">+H101</f>
        <v>5464</v>
      </c>
      <c r="M101" s="107">
        <f t="shared" ref="M101" si="22">+L101</f>
        <v>5464</v>
      </c>
      <c r="N101" s="107">
        <f t="shared" ref="N101" si="23">+M101</f>
        <v>5464</v>
      </c>
      <c r="O101" s="107">
        <f t="shared" ref="O101" si="24">+N101</f>
        <v>5464</v>
      </c>
      <c r="P101" s="108">
        <f t="shared" ref="P101" si="25">I101-SUM(L101:O101)</f>
        <v>4210</v>
      </c>
      <c r="Q101" s="108">
        <f t="shared" ref="Q101" si="26">+I101-SUM(L101:P101)</f>
        <v>0</v>
      </c>
    </row>
    <row r="102" spans="1:17">
      <c r="A102" s="12">
        <v>17054</v>
      </c>
      <c r="B102" s="13" t="s">
        <v>95</v>
      </c>
      <c r="C102" s="138">
        <f>VLOOKUP(A102,'Contribution Allocation_Report'!$A$9:$D$314,4,FALSE)</f>
        <v>4.2215595688711825E-3</v>
      </c>
      <c r="E102" s="144">
        <v>4.2818460489085957E-3</v>
      </c>
      <c r="F102" s="92"/>
      <c r="G102" s="101">
        <f t="shared" si="11"/>
        <v>-164822</v>
      </c>
      <c r="H102" s="86">
        <f t="shared" si="12"/>
        <v>-28565</v>
      </c>
      <c r="I102" s="86">
        <f t="shared" si="19"/>
        <v>-136257</v>
      </c>
      <c r="J102" s="86"/>
      <c r="K102" s="87"/>
      <c r="L102" s="107">
        <f t="shared" si="13"/>
        <v>-28565</v>
      </c>
      <c r="M102" s="107">
        <f t="shared" si="14"/>
        <v>-28565</v>
      </c>
      <c r="N102" s="107">
        <f t="shared" si="15"/>
        <v>-28565</v>
      </c>
      <c r="O102" s="107">
        <f t="shared" si="16"/>
        <v>-28565</v>
      </c>
      <c r="P102" s="108">
        <f t="shared" si="17"/>
        <v>-21997</v>
      </c>
      <c r="Q102" s="108">
        <f t="shared" si="18"/>
        <v>0</v>
      </c>
    </row>
    <row r="103" spans="1:17">
      <c r="A103" s="10">
        <v>22065</v>
      </c>
      <c r="B103" s="11" t="s">
        <v>96</v>
      </c>
      <c r="C103" s="137">
        <f>VLOOKUP(A103,'Contribution Allocation_Report'!$A$9:$D$314,4,FALSE)</f>
        <v>1.0908141230804283E-3</v>
      </c>
      <c r="E103" s="144">
        <v>1.0949058619101253E-3</v>
      </c>
      <c r="F103" s="92"/>
      <c r="G103" s="101">
        <f t="shared" si="11"/>
        <v>-11187</v>
      </c>
      <c r="H103" s="86">
        <f t="shared" si="12"/>
        <v>-1939</v>
      </c>
      <c r="I103" s="86">
        <f t="shared" si="19"/>
        <v>-9248</v>
      </c>
      <c r="J103" s="86"/>
      <c r="K103" s="87"/>
      <c r="L103" s="107">
        <f t="shared" si="13"/>
        <v>-1939</v>
      </c>
      <c r="M103" s="107">
        <f t="shared" si="14"/>
        <v>-1939</v>
      </c>
      <c r="N103" s="107">
        <f t="shared" si="15"/>
        <v>-1939</v>
      </c>
      <c r="O103" s="107">
        <f t="shared" si="16"/>
        <v>-1939</v>
      </c>
      <c r="P103" s="108">
        <f t="shared" si="17"/>
        <v>-1492</v>
      </c>
      <c r="Q103" s="108">
        <f t="shared" si="18"/>
        <v>0</v>
      </c>
    </row>
    <row r="104" spans="1:17">
      <c r="A104" s="12">
        <v>22201</v>
      </c>
      <c r="B104" s="43" t="s">
        <v>97</v>
      </c>
      <c r="C104" s="140">
        <f>VLOOKUP(A104,'Contribution Allocation_Report'!$A$9:$D$314,4,FALSE)</f>
        <v>5.9118793941503813E-4</v>
      </c>
      <c r="E104" s="144">
        <v>6.4292977738403354E-4</v>
      </c>
      <c r="F104" s="92"/>
      <c r="G104" s="101">
        <f t="shared" si="11"/>
        <v>-141461</v>
      </c>
      <c r="H104" s="86">
        <f t="shared" si="12"/>
        <v>-24517</v>
      </c>
      <c r="I104" s="86">
        <f t="shared" si="19"/>
        <v>-116944</v>
      </c>
      <c r="J104" s="86"/>
      <c r="K104" s="87"/>
      <c r="L104" s="107">
        <f t="shared" si="13"/>
        <v>-24517</v>
      </c>
      <c r="M104" s="107">
        <f t="shared" si="14"/>
        <v>-24517</v>
      </c>
      <c r="N104" s="107">
        <f t="shared" si="15"/>
        <v>-24517</v>
      </c>
      <c r="O104" s="107">
        <f t="shared" si="16"/>
        <v>-24517</v>
      </c>
      <c r="P104" s="108">
        <f t="shared" si="17"/>
        <v>-18876</v>
      </c>
      <c r="Q104" s="108">
        <f t="shared" si="18"/>
        <v>0</v>
      </c>
    </row>
    <row r="105" spans="1:17">
      <c r="A105" s="10">
        <v>6016</v>
      </c>
      <c r="B105" s="11" t="s">
        <v>98</v>
      </c>
      <c r="C105" s="137">
        <f>VLOOKUP(A105,'Contribution Allocation_Report'!$A$9:$D$314,4,FALSE)</f>
        <v>1.0896342985720975E-3</v>
      </c>
      <c r="E105" s="144">
        <v>1.0517292847297872E-3</v>
      </c>
      <c r="F105" s="92"/>
      <c r="G105" s="101">
        <f t="shared" si="11"/>
        <v>103631</v>
      </c>
      <c r="H105" s="86">
        <f t="shared" si="12"/>
        <v>17960</v>
      </c>
      <c r="I105" s="86">
        <f t="shared" si="19"/>
        <v>85671</v>
      </c>
      <c r="J105" s="86"/>
      <c r="K105" s="87"/>
      <c r="L105" s="107">
        <f t="shared" si="13"/>
        <v>17960</v>
      </c>
      <c r="M105" s="107">
        <f t="shared" si="14"/>
        <v>17960</v>
      </c>
      <c r="N105" s="107">
        <f t="shared" si="15"/>
        <v>17960</v>
      </c>
      <c r="O105" s="107">
        <f t="shared" si="16"/>
        <v>17960</v>
      </c>
      <c r="P105" s="108">
        <f t="shared" si="17"/>
        <v>13831</v>
      </c>
      <c r="Q105" s="108">
        <f t="shared" si="18"/>
        <v>0</v>
      </c>
    </row>
    <row r="106" spans="1:17">
      <c r="A106" s="183">
        <v>7440</v>
      </c>
      <c r="B106" s="184" t="s">
        <v>428</v>
      </c>
      <c r="C106" s="140">
        <f>VLOOKUP(A106,'Contribution Allocation_Report'!$A$9:$D$314,4,FALSE)</f>
        <v>5.8941820265254196E-4</v>
      </c>
      <c r="E106" s="144">
        <v>3.7746331539690328E-4</v>
      </c>
      <c r="F106" s="92"/>
      <c r="G106" s="101">
        <f t="shared" si="11"/>
        <v>579479</v>
      </c>
      <c r="H106" s="86">
        <f t="shared" si="12"/>
        <v>100430</v>
      </c>
      <c r="I106" s="86">
        <f t="shared" si="19"/>
        <v>479049</v>
      </c>
      <c r="J106" s="86"/>
      <c r="K106" s="87"/>
      <c r="L106" s="107">
        <f t="shared" si="13"/>
        <v>100430</v>
      </c>
      <c r="M106" s="107">
        <f t="shared" si="14"/>
        <v>100430</v>
      </c>
      <c r="N106" s="107">
        <f t="shared" si="15"/>
        <v>100430</v>
      </c>
      <c r="O106" s="107">
        <f t="shared" si="16"/>
        <v>100430</v>
      </c>
      <c r="P106" s="108">
        <f t="shared" si="17"/>
        <v>77329</v>
      </c>
      <c r="Q106" s="108">
        <f t="shared" si="18"/>
        <v>0</v>
      </c>
    </row>
    <row r="107" spans="1:17">
      <c r="A107" s="10">
        <v>2432</v>
      </c>
      <c r="B107" s="11" t="s">
        <v>99</v>
      </c>
      <c r="C107" s="137">
        <f>VLOOKUP(A107,'Contribution Allocation_Report'!$A$9:$D$314,4,FALSE)</f>
        <v>1.8229763434346442E-3</v>
      </c>
      <c r="E107" s="144">
        <v>1.6715200599406155E-3</v>
      </c>
      <c r="F107" s="92"/>
      <c r="G107" s="101">
        <f t="shared" si="11"/>
        <v>414078</v>
      </c>
      <c r="H107" s="86">
        <f t="shared" si="12"/>
        <v>71764</v>
      </c>
      <c r="I107" s="86">
        <f t="shared" si="19"/>
        <v>342314</v>
      </c>
      <c r="J107" s="86"/>
      <c r="K107" s="87"/>
      <c r="L107" s="107">
        <f t="shared" si="13"/>
        <v>71764</v>
      </c>
      <c r="M107" s="107">
        <f t="shared" si="14"/>
        <v>71764</v>
      </c>
      <c r="N107" s="107">
        <f t="shared" si="15"/>
        <v>71764</v>
      </c>
      <c r="O107" s="107">
        <f t="shared" si="16"/>
        <v>71764</v>
      </c>
      <c r="P107" s="108">
        <f t="shared" si="17"/>
        <v>55258</v>
      </c>
      <c r="Q107" s="108">
        <f t="shared" si="18"/>
        <v>0</v>
      </c>
    </row>
    <row r="108" spans="1:17">
      <c r="A108" s="12">
        <v>29125</v>
      </c>
      <c r="B108" s="13" t="s">
        <v>454</v>
      </c>
      <c r="C108" s="138">
        <f>VLOOKUP(A108,'Contribution Allocation_Report'!$A$9:$D$314,4,FALSE)</f>
        <v>3.8010996097147899E-4</v>
      </c>
      <c r="E108" s="144">
        <v>2.5847058450619167E-4</v>
      </c>
      <c r="F108" s="92"/>
      <c r="G108" s="101">
        <f t="shared" si="11"/>
        <v>332559</v>
      </c>
      <c r="H108" s="86">
        <f t="shared" si="12"/>
        <v>57636</v>
      </c>
      <c r="I108" s="86">
        <f t="shared" si="19"/>
        <v>274923</v>
      </c>
      <c r="J108" s="86"/>
      <c r="K108" s="87"/>
      <c r="L108" s="107">
        <f t="shared" si="13"/>
        <v>57636</v>
      </c>
      <c r="M108" s="107">
        <f t="shared" si="14"/>
        <v>57636</v>
      </c>
      <c r="N108" s="107">
        <f t="shared" si="15"/>
        <v>57636</v>
      </c>
      <c r="O108" s="107">
        <f t="shared" si="16"/>
        <v>57636</v>
      </c>
      <c r="P108" s="108">
        <f t="shared" si="17"/>
        <v>44379</v>
      </c>
      <c r="Q108" s="108">
        <f t="shared" si="18"/>
        <v>0</v>
      </c>
    </row>
    <row r="109" spans="1:17">
      <c r="A109" s="10">
        <v>16052</v>
      </c>
      <c r="B109" s="11" t="s">
        <v>100</v>
      </c>
      <c r="C109" s="137">
        <f>VLOOKUP(A109,'Contribution Allocation_Report'!$A$9:$D$314,4,FALSE)</f>
        <v>1.2557373667580861E-2</v>
      </c>
      <c r="E109" s="144">
        <v>1.3187448899570849E-2</v>
      </c>
      <c r="F109" s="92"/>
      <c r="G109" s="101">
        <f t="shared" si="11"/>
        <v>-1722610</v>
      </c>
      <c r="H109" s="86">
        <f t="shared" si="12"/>
        <v>-298546</v>
      </c>
      <c r="I109" s="86">
        <f t="shared" si="19"/>
        <v>-1424064</v>
      </c>
      <c r="J109" s="86"/>
      <c r="K109" s="87"/>
      <c r="L109" s="107">
        <f t="shared" si="13"/>
        <v>-298546</v>
      </c>
      <c r="M109" s="107">
        <f t="shared" si="14"/>
        <v>-298546</v>
      </c>
      <c r="N109" s="107">
        <f t="shared" si="15"/>
        <v>-298546</v>
      </c>
      <c r="O109" s="107">
        <f t="shared" si="16"/>
        <v>-298546</v>
      </c>
      <c r="P109" s="108">
        <f t="shared" si="17"/>
        <v>-229880</v>
      </c>
      <c r="Q109" s="108">
        <f t="shared" si="18"/>
        <v>0</v>
      </c>
    </row>
    <row r="110" spans="1:17">
      <c r="A110" s="12">
        <v>11118</v>
      </c>
      <c r="B110" s="13" t="s">
        <v>101</v>
      </c>
      <c r="C110" s="138">
        <f>VLOOKUP(A110,'Contribution Allocation_Report'!$A$9:$D$314,4,FALSE)</f>
        <v>3.3998855378505438E-4</v>
      </c>
      <c r="E110" s="144">
        <v>3.5887045582915633E-4</v>
      </c>
      <c r="F110" s="92"/>
      <c r="G110" s="101">
        <f t="shared" si="11"/>
        <v>-51623</v>
      </c>
      <c r="H110" s="86">
        <f t="shared" si="12"/>
        <v>-8947</v>
      </c>
      <c r="I110" s="86">
        <f t="shared" si="19"/>
        <v>-42676</v>
      </c>
      <c r="J110" s="86"/>
      <c r="K110" s="87"/>
      <c r="L110" s="107">
        <f t="shared" si="13"/>
        <v>-8947</v>
      </c>
      <c r="M110" s="107">
        <f t="shared" si="14"/>
        <v>-8947</v>
      </c>
      <c r="N110" s="107">
        <f t="shared" si="15"/>
        <v>-8947</v>
      </c>
      <c r="O110" s="107">
        <f t="shared" si="16"/>
        <v>-8947</v>
      </c>
      <c r="P110" s="108">
        <f t="shared" si="17"/>
        <v>-6888</v>
      </c>
      <c r="Q110" s="108">
        <f t="shared" si="18"/>
        <v>0</v>
      </c>
    </row>
    <row r="111" spans="1:17">
      <c r="A111" s="10">
        <v>27083</v>
      </c>
      <c r="B111" s="11" t="s">
        <v>102</v>
      </c>
      <c r="C111" s="137">
        <f>VLOOKUP(A111,'Contribution Allocation_Report'!$A$9:$D$314,4,FALSE)</f>
        <v>5.4844142269757745E-4</v>
      </c>
      <c r="E111" s="144">
        <v>4.796376741617221E-4</v>
      </c>
      <c r="F111" s="92"/>
      <c r="G111" s="101">
        <f t="shared" si="11"/>
        <v>188108</v>
      </c>
      <c r="H111" s="86">
        <f t="shared" si="12"/>
        <v>32601</v>
      </c>
      <c r="I111" s="86">
        <f t="shared" si="19"/>
        <v>155507</v>
      </c>
      <c r="J111" s="86"/>
      <c r="K111" s="87"/>
      <c r="L111" s="107">
        <f t="shared" si="13"/>
        <v>32601</v>
      </c>
      <c r="M111" s="107">
        <f t="shared" si="14"/>
        <v>32601</v>
      </c>
      <c r="N111" s="107">
        <f t="shared" si="15"/>
        <v>32601</v>
      </c>
      <c r="O111" s="107">
        <f t="shared" si="16"/>
        <v>32601</v>
      </c>
      <c r="P111" s="108">
        <f t="shared" si="17"/>
        <v>25103</v>
      </c>
      <c r="Q111" s="108">
        <f t="shared" si="18"/>
        <v>0</v>
      </c>
    </row>
    <row r="112" spans="1:17">
      <c r="A112" s="12">
        <v>7021</v>
      </c>
      <c r="B112" s="13" t="s">
        <v>103</v>
      </c>
      <c r="C112" s="138">
        <f>VLOOKUP(A112,'Contribution Allocation_Report'!$A$9:$D$314,4,FALSE)</f>
        <v>1.7834868797504941E-2</v>
      </c>
      <c r="E112" s="144">
        <v>1.7423825670710515E-2</v>
      </c>
      <c r="F112" s="92"/>
      <c r="G112" s="101">
        <f t="shared" si="11"/>
        <v>1123782</v>
      </c>
      <c r="H112" s="86">
        <f t="shared" si="12"/>
        <v>194763</v>
      </c>
      <c r="I112" s="86">
        <f t="shared" si="19"/>
        <v>929019</v>
      </c>
      <c r="J112" s="86"/>
      <c r="K112" s="87"/>
      <c r="L112" s="107">
        <f t="shared" si="13"/>
        <v>194763</v>
      </c>
      <c r="M112" s="107">
        <f t="shared" si="14"/>
        <v>194763</v>
      </c>
      <c r="N112" s="107">
        <f t="shared" si="15"/>
        <v>194763</v>
      </c>
      <c r="O112" s="107">
        <f t="shared" si="16"/>
        <v>194763</v>
      </c>
      <c r="P112" s="108">
        <f t="shared" si="17"/>
        <v>149967</v>
      </c>
      <c r="Q112" s="108">
        <f t="shared" si="18"/>
        <v>0</v>
      </c>
    </row>
    <row r="113" spans="1:17">
      <c r="A113" s="10">
        <v>4140</v>
      </c>
      <c r="B113" s="11" t="s">
        <v>104</v>
      </c>
      <c r="C113" s="137">
        <f>VLOOKUP(A113,'Contribution Allocation_Report'!$A$9:$D$314,4,FALSE)</f>
        <v>1.1153028555314696E-4</v>
      </c>
      <c r="E113" s="144">
        <v>1.1820755945626281E-4</v>
      </c>
      <c r="F113" s="92"/>
      <c r="G113" s="101">
        <f t="shared" si="11"/>
        <v>-18255</v>
      </c>
      <c r="H113" s="86">
        <f t="shared" si="12"/>
        <v>-3164</v>
      </c>
      <c r="I113" s="86">
        <f t="shared" si="19"/>
        <v>-15091</v>
      </c>
      <c r="J113" s="86"/>
      <c r="K113" s="87"/>
      <c r="L113" s="107">
        <f t="shared" si="13"/>
        <v>-3164</v>
      </c>
      <c r="M113" s="107">
        <f t="shared" si="14"/>
        <v>-3164</v>
      </c>
      <c r="N113" s="107">
        <f t="shared" si="15"/>
        <v>-3164</v>
      </c>
      <c r="O113" s="107">
        <f t="shared" si="16"/>
        <v>-3164</v>
      </c>
      <c r="P113" s="108">
        <f t="shared" si="17"/>
        <v>-2435</v>
      </c>
      <c r="Q113" s="108">
        <f t="shared" si="18"/>
        <v>0</v>
      </c>
    </row>
    <row r="114" spans="1:17">
      <c r="A114" s="12">
        <v>13041</v>
      </c>
      <c r="B114" s="13" t="s">
        <v>105</v>
      </c>
      <c r="C114" s="138">
        <f>VLOOKUP(A114,'Contribution Allocation_Report'!$A$9:$D$314,4,FALSE)</f>
        <v>1.5054457491656669E-2</v>
      </c>
      <c r="E114" s="144">
        <v>1.6046069651254564E-2</v>
      </c>
      <c r="F114" s="92"/>
      <c r="G114" s="101">
        <f t="shared" si="11"/>
        <v>-2711043</v>
      </c>
      <c r="H114" s="86">
        <f t="shared" si="12"/>
        <v>-469851</v>
      </c>
      <c r="I114" s="86">
        <f t="shared" si="19"/>
        <v>-2241192</v>
      </c>
      <c r="J114" s="86"/>
      <c r="K114" s="87"/>
      <c r="L114" s="107">
        <f t="shared" si="13"/>
        <v>-469851</v>
      </c>
      <c r="M114" s="107">
        <f t="shared" si="14"/>
        <v>-469851</v>
      </c>
      <c r="N114" s="107">
        <f t="shared" si="15"/>
        <v>-469851</v>
      </c>
      <c r="O114" s="107">
        <f t="shared" si="16"/>
        <v>-469851</v>
      </c>
      <c r="P114" s="108">
        <f t="shared" si="17"/>
        <v>-361788</v>
      </c>
      <c r="Q114" s="108">
        <f t="shared" si="18"/>
        <v>0</v>
      </c>
    </row>
    <row r="115" spans="1:17">
      <c r="A115" s="10">
        <v>2339</v>
      </c>
      <c r="B115" s="11" t="s">
        <v>106</v>
      </c>
      <c r="C115" s="137">
        <f>VLOOKUP(A115,'Contribution Allocation_Report'!$A$9:$D$314,4,FALSE)</f>
        <v>2.4051459992641288E-4</v>
      </c>
      <c r="E115" s="144">
        <v>2.3579483347931109E-4</v>
      </c>
      <c r="F115" s="92"/>
      <c r="G115" s="101">
        <f t="shared" si="11"/>
        <v>12904</v>
      </c>
      <c r="H115" s="86">
        <f t="shared" si="12"/>
        <v>2236</v>
      </c>
      <c r="I115" s="86">
        <f t="shared" si="19"/>
        <v>10668</v>
      </c>
      <c r="J115" s="86"/>
      <c r="K115" s="87"/>
      <c r="L115" s="107">
        <f t="shared" si="13"/>
        <v>2236</v>
      </c>
      <c r="M115" s="107">
        <f t="shared" si="14"/>
        <v>2236</v>
      </c>
      <c r="N115" s="107">
        <f t="shared" si="15"/>
        <v>2236</v>
      </c>
      <c r="O115" s="107">
        <f t="shared" si="16"/>
        <v>2236</v>
      </c>
      <c r="P115" s="108">
        <f t="shared" si="17"/>
        <v>1724</v>
      </c>
      <c r="Q115" s="108">
        <f t="shared" si="18"/>
        <v>0</v>
      </c>
    </row>
    <row r="116" spans="1:17">
      <c r="A116" s="12">
        <v>2362</v>
      </c>
      <c r="B116" s="13" t="s">
        <v>107</v>
      </c>
      <c r="C116" s="138">
        <f>VLOOKUP(A116,'Contribution Allocation_Report'!$A$9:$D$314,4,FALSE)</f>
        <v>3.0863471747616308E-4</v>
      </c>
      <c r="E116" s="144">
        <v>2.6271836196655954E-4</v>
      </c>
      <c r="F116" s="92"/>
      <c r="G116" s="101">
        <f t="shared" si="11"/>
        <v>125534</v>
      </c>
      <c r="H116" s="86">
        <f t="shared" si="12"/>
        <v>21756</v>
      </c>
      <c r="I116" s="86">
        <f t="shared" si="19"/>
        <v>103778</v>
      </c>
      <c r="J116" s="86"/>
      <c r="K116" s="87"/>
      <c r="L116" s="107">
        <f t="shared" si="13"/>
        <v>21756</v>
      </c>
      <c r="M116" s="107">
        <f t="shared" si="14"/>
        <v>21756</v>
      </c>
      <c r="N116" s="107">
        <f t="shared" si="15"/>
        <v>21756</v>
      </c>
      <c r="O116" s="107">
        <f t="shared" si="16"/>
        <v>21756</v>
      </c>
      <c r="P116" s="108">
        <f t="shared" si="17"/>
        <v>16754</v>
      </c>
      <c r="Q116" s="108">
        <f t="shared" si="18"/>
        <v>0</v>
      </c>
    </row>
    <row r="117" spans="1:17">
      <c r="A117" s="10">
        <v>5013</v>
      </c>
      <c r="B117" s="11" t="s">
        <v>108</v>
      </c>
      <c r="C117" s="137">
        <f>VLOOKUP(A117,'Contribution Allocation_Report'!$A$9:$D$314,4,FALSE)</f>
        <v>2.7126377617478465E-4</v>
      </c>
      <c r="E117" s="144">
        <v>2.831642261196056E-4</v>
      </c>
      <c r="F117" s="92"/>
      <c r="G117" s="101">
        <f t="shared" si="11"/>
        <v>-32536</v>
      </c>
      <c r="H117" s="86">
        <f t="shared" si="12"/>
        <v>-5639</v>
      </c>
      <c r="I117" s="86">
        <f t="shared" si="19"/>
        <v>-26897</v>
      </c>
      <c r="J117" s="86"/>
      <c r="K117" s="87"/>
      <c r="L117" s="107">
        <f t="shared" si="13"/>
        <v>-5639</v>
      </c>
      <c r="M117" s="107">
        <f t="shared" si="14"/>
        <v>-5639</v>
      </c>
      <c r="N117" s="107">
        <f t="shared" si="15"/>
        <v>-5639</v>
      </c>
      <c r="O117" s="107">
        <f t="shared" si="16"/>
        <v>-5639</v>
      </c>
      <c r="P117" s="108">
        <f t="shared" si="17"/>
        <v>-4341</v>
      </c>
      <c r="Q117" s="108">
        <f t="shared" si="18"/>
        <v>0</v>
      </c>
    </row>
    <row r="118" spans="1:17">
      <c r="A118" s="12">
        <v>3110</v>
      </c>
      <c r="B118" s="13" t="s">
        <v>109</v>
      </c>
      <c r="C118" s="138">
        <f>VLOOKUP(A118,'Contribution Allocation_Report'!$A$9:$D$314,4,FALSE)</f>
        <v>1.3046278196026794E-3</v>
      </c>
      <c r="E118" s="144">
        <v>1.2493961933522659E-3</v>
      </c>
      <c r="F118" s="92"/>
      <c r="G118" s="101">
        <f t="shared" si="11"/>
        <v>151002</v>
      </c>
      <c r="H118" s="86">
        <f t="shared" si="12"/>
        <v>26170</v>
      </c>
      <c r="I118" s="86">
        <f t="shared" si="19"/>
        <v>124832</v>
      </c>
      <c r="J118" s="86"/>
      <c r="K118" s="87"/>
      <c r="L118" s="107">
        <f t="shared" si="13"/>
        <v>26170</v>
      </c>
      <c r="M118" s="107">
        <f t="shared" si="14"/>
        <v>26170</v>
      </c>
      <c r="N118" s="107">
        <f t="shared" si="15"/>
        <v>26170</v>
      </c>
      <c r="O118" s="107">
        <f t="shared" si="16"/>
        <v>26170</v>
      </c>
      <c r="P118" s="108">
        <f t="shared" si="17"/>
        <v>20152</v>
      </c>
      <c r="Q118" s="108">
        <f t="shared" si="18"/>
        <v>0</v>
      </c>
    </row>
    <row r="119" spans="1:17">
      <c r="A119" s="10">
        <v>14044</v>
      </c>
      <c r="B119" s="11" t="s">
        <v>110</v>
      </c>
      <c r="C119" s="137">
        <f>VLOOKUP(A119,'Contribution Allocation_Report'!$A$9:$D$314,4,FALSE)</f>
        <v>4.2019523603233598E-3</v>
      </c>
      <c r="E119" s="144">
        <v>4.8626530623990423E-3</v>
      </c>
      <c r="F119" s="92"/>
      <c r="G119" s="101">
        <f t="shared" si="11"/>
        <v>-1806339</v>
      </c>
      <c r="H119" s="86">
        <f t="shared" si="12"/>
        <v>-313057</v>
      </c>
      <c r="I119" s="86">
        <f t="shared" si="19"/>
        <v>-1493282</v>
      </c>
      <c r="J119" s="86"/>
      <c r="K119" s="87"/>
      <c r="L119" s="107">
        <f t="shared" si="13"/>
        <v>-313057</v>
      </c>
      <c r="M119" s="107">
        <f t="shared" si="14"/>
        <v>-313057</v>
      </c>
      <c r="N119" s="107">
        <f t="shared" si="15"/>
        <v>-313057</v>
      </c>
      <c r="O119" s="107">
        <f t="shared" si="16"/>
        <v>-313057</v>
      </c>
      <c r="P119" s="108">
        <f t="shared" si="17"/>
        <v>-241054</v>
      </c>
      <c r="Q119" s="108">
        <f t="shared" si="18"/>
        <v>0</v>
      </c>
    </row>
    <row r="120" spans="1:17">
      <c r="A120" s="12">
        <v>4009</v>
      </c>
      <c r="B120" s="13" t="s">
        <v>111</v>
      </c>
      <c r="C120" s="138">
        <f>VLOOKUP(A120,'Contribution Allocation_Report'!$A$9:$D$314,4,FALSE)</f>
        <v>6.2254177572392943E-4</v>
      </c>
      <c r="E120" s="144">
        <v>6.4126521394300212E-4</v>
      </c>
      <c r="F120" s="92"/>
      <c r="G120" s="101">
        <f t="shared" si="11"/>
        <v>-51189</v>
      </c>
      <c r="H120" s="86">
        <f t="shared" si="12"/>
        <v>-8872</v>
      </c>
      <c r="I120" s="86">
        <f t="shared" si="19"/>
        <v>-42317</v>
      </c>
      <c r="J120" s="86"/>
      <c r="K120" s="87"/>
      <c r="L120" s="107">
        <f t="shared" si="13"/>
        <v>-8872</v>
      </c>
      <c r="M120" s="107">
        <f t="shared" si="14"/>
        <v>-8872</v>
      </c>
      <c r="N120" s="107">
        <f t="shared" si="15"/>
        <v>-8872</v>
      </c>
      <c r="O120" s="107">
        <f t="shared" si="16"/>
        <v>-8872</v>
      </c>
      <c r="P120" s="108">
        <f t="shared" si="17"/>
        <v>-6829</v>
      </c>
      <c r="Q120" s="108">
        <f t="shared" si="18"/>
        <v>0</v>
      </c>
    </row>
    <row r="121" spans="1:17">
      <c r="A121" s="10">
        <v>7022</v>
      </c>
      <c r="B121" s="11" t="s">
        <v>112</v>
      </c>
      <c r="C121" s="137">
        <f>VLOOKUP(A121,'Contribution Allocation_Report'!$A$9:$D$314,4,FALSE)</f>
        <v>1.8381739578825803E-3</v>
      </c>
      <c r="E121" s="144">
        <v>1.8138166790057665E-3</v>
      </c>
      <c r="F121" s="92"/>
      <c r="G121" s="101">
        <f t="shared" si="11"/>
        <v>66592</v>
      </c>
      <c r="H121" s="86">
        <f t="shared" si="12"/>
        <v>11541</v>
      </c>
      <c r="I121" s="86">
        <f t="shared" si="19"/>
        <v>55051</v>
      </c>
      <c r="J121" s="86"/>
      <c r="K121" s="87"/>
      <c r="L121" s="107">
        <f t="shared" si="13"/>
        <v>11541</v>
      </c>
      <c r="M121" s="107">
        <f t="shared" si="14"/>
        <v>11541</v>
      </c>
      <c r="N121" s="107">
        <f t="shared" si="15"/>
        <v>11541</v>
      </c>
      <c r="O121" s="107">
        <f t="shared" si="16"/>
        <v>11541</v>
      </c>
      <c r="P121" s="108">
        <f t="shared" si="17"/>
        <v>8887</v>
      </c>
      <c r="Q121" s="108">
        <f t="shared" si="18"/>
        <v>0</v>
      </c>
    </row>
    <row r="122" spans="1:17">
      <c r="A122" s="12">
        <v>2430</v>
      </c>
      <c r="B122" s="13" t="s">
        <v>113</v>
      </c>
      <c r="C122" s="138">
        <f>VLOOKUP(A122,'Contribution Allocation_Report'!$A$9:$D$314,4,FALSE)</f>
        <v>2.1796520401094025E-4</v>
      </c>
      <c r="E122" s="144">
        <v>2.3387901517925609E-4</v>
      </c>
      <c r="F122" s="92"/>
      <c r="G122" s="101">
        <f t="shared" si="11"/>
        <v>-43508</v>
      </c>
      <c r="H122" s="86">
        <f t="shared" si="12"/>
        <v>-7540</v>
      </c>
      <c r="I122" s="86">
        <f t="shared" si="19"/>
        <v>-35968</v>
      </c>
      <c r="J122" s="86"/>
      <c r="K122" s="87"/>
      <c r="L122" s="107">
        <f t="shared" si="13"/>
        <v>-7540</v>
      </c>
      <c r="M122" s="107">
        <f t="shared" si="14"/>
        <v>-7540</v>
      </c>
      <c r="N122" s="107">
        <f t="shared" si="15"/>
        <v>-7540</v>
      </c>
      <c r="O122" s="107">
        <f t="shared" si="16"/>
        <v>-7540</v>
      </c>
      <c r="P122" s="108">
        <f t="shared" si="17"/>
        <v>-5808</v>
      </c>
      <c r="Q122" s="108">
        <f t="shared" si="18"/>
        <v>0</v>
      </c>
    </row>
    <row r="123" spans="1:17">
      <c r="A123" s="10">
        <v>9150</v>
      </c>
      <c r="B123" s="11" t="s">
        <v>114</v>
      </c>
      <c r="C123" s="137">
        <f>VLOOKUP(A123,'Contribution Allocation_Report'!$A$9:$D$314,4,FALSE)</f>
        <v>1.0881668918398611E-4</v>
      </c>
      <c r="E123" s="144">
        <v>1.3116288812466757E-4</v>
      </c>
      <c r="F123" s="92"/>
      <c r="G123" s="101">
        <f t="shared" si="11"/>
        <v>-61094</v>
      </c>
      <c r="H123" s="86">
        <f t="shared" si="12"/>
        <v>-10588</v>
      </c>
      <c r="I123" s="86">
        <f t="shared" si="19"/>
        <v>-50506</v>
      </c>
      <c r="J123" s="86"/>
      <c r="K123" s="87"/>
      <c r="L123" s="107">
        <f t="shared" si="13"/>
        <v>-10588</v>
      </c>
      <c r="M123" s="107">
        <f t="shared" si="14"/>
        <v>-10588</v>
      </c>
      <c r="N123" s="107">
        <f t="shared" si="15"/>
        <v>-10588</v>
      </c>
      <c r="O123" s="107">
        <f t="shared" si="16"/>
        <v>-10588</v>
      </c>
      <c r="P123" s="108">
        <f t="shared" si="17"/>
        <v>-8154</v>
      </c>
      <c r="Q123" s="108">
        <f t="shared" si="18"/>
        <v>0</v>
      </c>
    </row>
    <row r="124" spans="1:17">
      <c r="A124" s="12">
        <v>6017</v>
      </c>
      <c r="B124" s="13" t="s">
        <v>115</v>
      </c>
      <c r="C124" s="138">
        <f>VLOOKUP(A124,'Contribution Allocation_Report'!$A$9:$D$314,4,FALSE)</f>
        <v>1.24274233718914E-2</v>
      </c>
      <c r="E124" s="144">
        <v>1.2572031529249902E-2</v>
      </c>
      <c r="F124" s="92"/>
      <c r="G124" s="101">
        <f t="shared" si="11"/>
        <v>-395355</v>
      </c>
      <c r="H124" s="86">
        <f t="shared" si="12"/>
        <v>-68519</v>
      </c>
      <c r="I124" s="86">
        <f t="shared" si="19"/>
        <v>-326836</v>
      </c>
      <c r="J124" s="86"/>
      <c r="K124" s="87"/>
      <c r="L124" s="107">
        <f t="shared" si="13"/>
        <v>-68519</v>
      </c>
      <c r="M124" s="107">
        <f t="shared" si="14"/>
        <v>-68519</v>
      </c>
      <c r="N124" s="107">
        <f t="shared" si="15"/>
        <v>-68519</v>
      </c>
      <c r="O124" s="107">
        <f t="shared" si="16"/>
        <v>-68519</v>
      </c>
      <c r="P124" s="108">
        <f t="shared" si="17"/>
        <v>-52760</v>
      </c>
      <c r="Q124" s="108">
        <f t="shared" si="18"/>
        <v>0</v>
      </c>
    </row>
    <row r="125" spans="1:17">
      <c r="A125" s="10">
        <v>26080</v>
      </c>
      <c r="B125" s="11" t="s">
        <v>116</v>
      </c>
      <c r="C125" s="137">
        <f>VLOOKUP(A125,'Contribution Allocation_Report'!$A$9:$D$314,4,FALSE)</f>
        <v>2.7512770143956806E-4</v>
      </c>
      <c r="E125" s="144">
        <v>3.7228118392954138E-4</v>
      </c>
      <c r="F125" s="92"/>
      <c r="G125" s="101">
        <f t="shared" si="11"/>
        <v>-265615</v>
      </c>
      <c r="H125" s="86">
        <f t="shared" si="12"/>
        <v>-46034</v>
      </c>
      <c r="I125" s="86">
        <f t="shared" si="19"/>
        <v>-219581</v>
      </c>
      <c r="J125" s="86"/>
      <c r="K125" s="87"/>
      <c r="L125" s="107">
        <f t="shared" si="13"/>
        <v>-46034</v>
      </c>
      <c r="M125" s="107">
        <f t="shared" si="14"/>
        <v>-46034</v>
      </c>
      <c r="N125" s="107">
        <f t="shared" si="15"/>
        <v>-46034</v>
      </c>
      <c r="O125" s="107">
        <f t="shared" si="16"/>
        <v>-46034</v>
      </c>
      <c r="P125" s="108">
        <f t="shared" si="17"/>
        <v>-35445</v>
      </c>
      <c r="Q125" s="108">
        <f t="shared" si="18"/>
        <v>0</v>
      </c>
    </row>
    <row r="126" spans="1:17">
      <c r="A126" s="12">
        <v>2327</v>
      </c>
      <c r="B126" s="13" t="s">
        <v>117</v>
      </c>
      <c r="C126" s="138">
        <f>VLOOKUP(A126,'Contribution Allocation_Report'!$A$9:$D$314,4,FALSE)</f>
        <v>4.5216774281778326E-4</v>
      </c>
      <c r="E126" s="144">
        <v>4.6507274405269735E-4</v>
      </c>
      <c r="F126" s="92"/>
      <c r="G126" s="101">
        <f t="shared" si="11"/>
        <v>-35282</v>
      </c>
      <c r="H126" s="86">
        <f t="shared" si="12"/>
        <v>-6115</v>
      </c>
      <c r="I126" s="86">
        <f t="shared" si="19"/>
        <v>-29167</v>
      </c>
      <c r="J126" s="86"/>
      <c r="K126" s="87"/>
      <c r="L126" s="107">
        <f t="shared" si="13"/>
        <v>-6115</v>
      </c>
      <c r="M126" s="107">
        <f t="shared" si="14"/>
        <v>-6115</v>
      </c>
      <c r="N126" s="107">
        <f t="shared" si="15"/>
        <v>-6115</v>
      </c>
      <c r="O126" s="107">
        <f t="shared" si="16"/>
        <v>-6115</v>
      </c>
      <c r="P126" s="108">
        <f t="shared" si="17"/>
        <v>-4707</v>
      </c>
      <c r="Q126" s="108">
        <f t="shared" si="18"/>
        <v>0</v>
      </c>
    </row>
    <row r="127" spans="1:17">
      <c r="A127" s="10">
        <v>10119</v>
      </c>
      <c r="B127" s="11" t="s">
        <v>118</v>
      </c>
      <c r="C127" s="137">
        <f>VLOOKUP(A127,'Contribution Allocation_Report'!$A$9:$D$314,4,FALSE)</f>
        <v>2.2493354251326909E-4</v>
      </c>
      <c r="E127" s="144">
        <v>2.1376292302867852E-4</v>
      </c>
      <c r="F127" s="92"/>
      <c r="G127" s="101">
        <f t="shared" si="11"/>
        <v>30540</v>
      </c>
      <c r="H127" s="86">
        <f t="shared" si="12"/>
        <v>5293</v>
      </c>
      <c r="I127" s="86">
        <f t="shared" si="19"/>
        <v>25247</v>
      </c>
      <c r="J127" s="86"/>
      <c r="K127" s="87"/>
      <c r="L127" s="107">
        <f t="shared" si="13"/>
        <v>5293</v>
      </c>
      <c r="M127" s="107">
        <f t="shared" si="14"/>
        <v>5293</v>
      </c>
      <c r="N127" s="107">
        <f t="shared" si="15"/>
        <v>5293</v>
      </c>
      <c r="O127" s="107">
        <f t="shared" si="16"/>
        <v>5293</v>
      </c>
      <c r="P127" s="108">
        <f t="shared" si="17"/>
        <v>4075</v>
      </c>
      <c r="Q127" s="108">
        <f t="shared" si="18"/>
        <v>0</v>
      </c>
    </row>
    <row r="128" spans="1:17">
      <c r="A128" s="12">
        <v>13436</v>
      </c>
      <c r="B128" s="13" t="s">
        <v>394</v>
      </c>
      <c r="C128" s="138">
        <f>VLOOKUP(A128,'Contribution Allocation_Report'!$A$9:$D$314,4,FALSE)</f>
        <v>1.1586761540189811E-3</v>
      </c>
      <c r="E128" s="144">
        <v>1.0938772873309974E-3</v>
      </c>
      <c r="F128" s="92"/>
      <c r="G128" s="101">
        <f t="shared" si="11"/>
        <v>177158</v>
      </c>
      <c r="H128" s="86">
        <f t="shared" si="12"/>
        <v>30703</v>
      </c>
      <c r="I128" s="86">
        <f t="shared" si="19"/>
        <v>146455</v>
      </c>
      <c r="J128" s="86"/>
      <c r="K128" s="87"/>
      <c r="L128" s="107">
        <f t="shared" si="13"/>
        <v>30703</v>
      </c>
      <c r="M128" s="107">
        <f t="shared" si="14"/>
        <v>30703</v>
      </c>
      <c r="N128" s="107">
        <f t="shared" si="15"/>
        <v>30703</v>
      </c>
      <c r="O128" s="107">
        <f t="shared" si="16"/>
        <v>30703</v>
      </c>
      <c r="P128" s="108">
        <f t="shared" si="17"/>
        <v>23643</v>
      </c>
      <c r="Q128" s="108">
        <f t="shared" si="18"/>
        <v>0</v>
      </c>
    </row>
    <row r="129" spans="1:17">
      <c r="A129" s="10">
        <v>2368</v>
      </c>
      <c r="B129" s="11" t="s">
        <v>119</v>
      </c>
      <c r="C129" s="137">
        <f>VLOOKUP(A129,'Contribution Allocation_Report'!$A$9:$D$314,4,FALSE)</f>
        <v>4.8093333911152387E-4</v>
      </c>
      <c r="E129" s="144">
        <v>4.5017804194120417E-4</v>
      </c>
      <c r="F129" s="92"/>
      <c r="G129" s="101">
        <f t="shared" si="11"/>
        <v>84084</v>
      </c>
      <c r="H129" s="86">
        <f t="shared" si="12"/>
        <v>14573</v>
      </c>
      <c r="I129" s="86">
        <f t="shared" si="19"/>
        <v>69511</v>
      </c>
      <c r="J129" s="86"/>
      <c r="K129" s="87"/>
      <c r="L129" s="107">
        <f t="shared" si="13"/>
        <v>14573</v>
      </c>
      <c r="M129" s="107">
        <f t="shared" si="14"/>
        <v>14573</v>
      </c>
      <c r="N129" s="107">
        <f t="shared" si="15"/>
        <v>14573</v>
      </c>
      <c r="O129" s="107">
        <f t="shared" si="16"/>
        <v>14573</v>
      </c>
      <c r="P129" s="108">
        <f t="shared" si="17"/>
        <v>11219</v>
      </c>
      <c r="Q129" s="108">
        <f t="shared" si="18"/>
        <v>0</v>
      </c>
    </row>
    <row r="130" spans="1:17">
      <c r="A130" s="12">
        <v>7420</v>
      </c>
      <c r="B130" s="13" t="s">
        <v>120</v>
      </c>
      <c r="C130" s="138">
        <f>VLOOKUP(A130,'Contribution Allocation_Report'!$A$9:$D$314,4,FALSE)</f>
        <v>2.8305464735491569E-4</v>
      </c>
      <c r="E130" s="144">
        <v>2.704287454528465E-4</v>
      </c>
      <c r="F130" s="92"/>
      <c r="G130" s="101">
        <f t="shared" si="11"/>
        <v>34519</v>
      </c>
      <c r="H130" s="86">
        <f t="shared" si="12"/>
        <v>5982</v>
      </c>
      <c r="I130" s="86">
        <f t="shared" si="19"/>
        <v>28537</v>
      </c>
      <c r="J130" s="86"/>
      <c r="K130" s="87"/>
      <c r="L130" s="107">
        <f t="shared" si="13"/>
        <v>5982</v>
      </c>
      <c r="M130" s="107">
        <f t="shared" si="14"/>
        <v>5982</v>
      </c>
      <c r="N130" s="107">
        <f t="shared" si="15"/>
        <v>5982</v>
      </c>
      <c r="O130" s="107">
        <f t="shared" si="16"/>
        <v>5982</v>
      </c>
      <c r="P130" s="108">
        <f t="shared" si="17"/>
        <v>4609</v>
      </c>
      <c r="Q130" s="108">
        <f t="shared" si="18"/>
        <v>0</v>
      </c>
    </row>
    <row r="131" spans="1:17">
      <c r="A131" s="10">
        <v>6018</v>
      </c>
      <c r="B131" s="11" t="s">
        <v>121</v>
      </c>
      <c r="C131" s="137">
        <f>VLOOKUP(A131,'Contribution Allocation_Report'!$A$9:$D$314,4,FALSE)</f>
        <v>1.0810142057581056E-3</v>
      </c>
      <c r="E131" s="144">
        <v>9.1827369601652929E-4</v>
      </c>
      <c r="F131" s="92"/>
      <c r="G131" s="101">
        <f t="shared" si="11"/>
        <v>444928</v>
      </c>
      <c r="H131" s="86">
        <f t="shared" si="12"/>
        <v>77111</v>
      </c>
      <c r="I131" s="86">
        <f t="shared" si="19"/>
        <v>367817</v>
      </c>
      <c r="J131" s="86"/>
      <c r="K131" s="87"/>
      <c r="L131" s="107">
        <f t="shared" si="13"/>
        <v>77111</v>
      </c>
      <c r="M131" s="107">
        <f t="shared" si="14"/>
        <v>77111</v>
      </c>
      <c r="N131" s="107">
        <f t="shared" si="15"/>
        <v>77111</v>
      </c>
      <c r="O131" s="107">
        <f t="shared" si="16"/>
        <v>77111</v>
      </c>
      <c r="P131" s="108">
        <f t="shared" si="17"/>
        <v>59373</v>
      </c>
      <c r="Q131" s="108">
        <f t="shared" si="18"/>
        <v>0</v>
      </c>
    </row>
    <row r="132" spans="1:17">
      <c r="A132" s="12">
        <v>3321</v>
      </c>
      <c r="B132" s="13" t="s">
        <v>122</v>
      </c>
      <c r="C132" s="138">
        <f>VLOOKUP(A132,'Contribution Allocation_Report'!$A$9:$D$314,4,FALSE)</f>
        <v>2.494665183833729E-4</v>
      </c>
      <c r="E132" s="144">
        <v>2.7359298633367502E-4</v>
      </c>
      <c r="F132" s="92"/>
      <c r="G132" s="101">
        <f t="shared" si="11"/>
        <v>-65961</v>
      </c>
      <c r="H132" s="86">
        <f t="shared" si="12"/>
        <v>-11432</v>
      </c>
      <c r="I132" s="86">
        <f t="shared" si="19"/>
        <v>-54529</v>
      </c>
      <c r="J132" s="86"/>
      <c r="K132" s="87"/>
      <c r="L132" s="107">
        <f t="shared" si="13"/>
        <v>-11432</v>
      </c>
      <c r="M132" s="107">
        <f t="shared" si="14"/>
        <v>-11432</v>
      </c>
      <c r="N132" s="107">
        <f t="shared" si="15"/>
        <v>-11432</v>
      </c>
      <c r="O132" s="107">
        <f t="shared" si="16"/>
        <v>-11432</v>
      </c>
      <c r="P132" s="108">
        <f t="shared" si="17"/>
        <v>-8801</v>
      </c>
      <c r="Q132" s="108">
        <f t="shared" si="18"/>
        <v>0</v>
      </c>
    </row>
    <row r="133" spans="1:17">
      <c r="A133" s="10">
        <v>29122</v>
      </c>
      <c r="B133" s="11" t="s">
        <v>123</v>
      </c>
      <c r="C133" s="137">
        <f>VLOOKUP(A133,'Contribution Allocation_Report'!$A$9:$D$314,4,FALSE)</f>
        <v>4.3687426762854516E-4</v>
      </c>
      <c r="E133" s="144">
        <v>3.5367262093310541E-4</v>
      </c>
      <c r="F133" s="92"/>
      <c r="G133" s="101">
        <f t="shared" ref="G133:G196" si="27">ROUND((E133-C133)*$G$318,0)</f>
        <v>227471</v>
      </c>
      <c r="H133" s="86">
        <f t="shared" si="12"/>
        <v>39423</v>
      </c>
      <c r="I133" s="86">
        <f t="shared" si="19"/>
        <v>188048</v>
      </c>
      <c r="J133" s="86"/>
      <c r="K133" s="87"/>
      <c r="L133" s="107">
        <f t="shared" si="13"/>
        <v>39423</v>
      </c>
      <c r="M133" s="107">
        <f t="shared" si="14"/>
        <v>39423</v>
      </c>
      <c r="N133" s="107">
        <f t="shared" si="15"/>
        <v>39423</v>
      </c>
      <c r="O133" s="107">
        <f t="shared" si="16"/>
        <v>39423</v>
      </c>
      <c r="P133" s="108">
        <f t="shared" si="17"/>
        <v>30356</v>
      </c>
      <c r="Q133" s="108">
        <f t="shared" si="18"/>
        <v>0</v>
      </c>
    </row>
    <row r="134" spans="1:17">
      <c r="A134" s="12">
        <v>29088</v>
      </c>
      <c r="B134" s="13" t="s">
        <v>124</v>
      </c>
      <c r="C134" s="138">
        <f>VLOOKUP(A134,'Contribution Allocation_Report'!$A$9:$D$314,4,FALSE)</f>
        <v>5.6409621914249185E-4</v>
      </c>
      <c r="E134" s="144">
        <v>5.2845963395574684E-4</v>
      </c>
      <c r="F134" s="92"/>
      <c r="G134" s="101">
        <f t="shared" si="27"/>
        <v>97430</v>
      </c>
      <c r="H134" s="86">
        <f t="shared" ref="H134:H197" si="28">ROUND(G134/5.77,0)</f>
        <v>16886</v>
      </c>
      <c r="I134" s="86">
        <f t="shared" si="19"/>
        <v>80544</v>
      </c>
      <c r="J134" s="86"/>
      <c r="K134" s="87"/>
      <c r="L134" s="107">
        <f t="shared" si="13"/>
        <v>16886</v>
      </c>
      <c r="M134" s="107">
        <f t="shared" si="14"/>
        <v>16886</v>
      </c>
      <c r="N134" s="107">
        <f t="shared" si="15"/>
        <v>16886</v>
      </c>
      <c r="O134" s="107">
        <f t="shared" si="16"/>
        <v>16886</v>
      </c>
      <c r="P134" s="108">
        <f t="shared" si="17"/>
        <v>13000</v>
      </c>
      <c r="Q134" s="108">
        <f t="shared" si="18"/>
        <v>0</v>
      </c>
    </row>
    <row r="135" spans="1:17">
      <c r="A135" s="10">
        <v>7337</v>
      </c>
      <c r="B135" s="11" t="s">
        <v>125</v>
      </c>
      <c r="C135" s="137">
        <f>VLOOKUP(A135,'Contribution Allocation_Report'!$A$9:$D$314,4,FALSE)</f>
        <v>1.1425862972866197E-4</v>
      </c>
      <c r="E135" s="144">
        <v>1.0483608992760021E-4</v>
      </c>
      <c r="F135" s="92"/>
      <c r="G135" s="101">
        <f t="shared" si="27"/>
        <v>25761</v>
      </c>
      <c r="H135" s="86">
        <f t="shared" si="28"/>
        <v>4465</v>
      </c>
      <c r="I135" s="86">
        <f t="shared" si="19"/>
        <v>21296</v>
      </c>
      <c r="J135" s="86"/>
      <c r="K135" s="87"/>
      <c r="L135" s="107">
        <f t="shared" ref="L135:L199" si="29">+H135</f>
        <v>4465</v>
      </c>
      <c r="M135" s="107">
        <f t="shared" ref="M135:M199" si="30">+L135</f>
        <v>4465</v>
      </c>
      <c r="N135" s="107">
        <f t="shared" ref="N135:N199" si="31">+M135</f>
        <v>4465</v>
      </c>
      <c r="O135" s="107">
        <f t="shared" ref="O135:O199" si="32">+N135</f>
        <v>4465</v>
      </c>
      <c r="P135" s="108">
        <f t="shared" ref="P135:P199" si="33">I135-SUM(L135:O135)</f>
        <v>3436</v>
      </c>
      <c r="Q135" s="108">
        <f t="shared" si="18"/>
        <v>0</v>
      </c>
    </row>
    <row r="136" spans="1:17">
      <c r="A136" s="12">
        <v>2329</v>
      </c>
      <c r="B136" s="13" t="s">
        <v>126</v>
      </c>
      <c r="C136" s="138">
        <f>VLOOKUP(A136,'Contribution Allocation_Report'!$A$9:$D$314,4,FALSE)</f>
        <v>2.9350346815682041E-4</v>
      </c>
      <c r="E136" s="144">
        <v>3.5796750867954022E-4</v>
      </c>
      <c r="F136" s="92"/>
      <c r="G136" s="101">
        <f t="shared" si="27"/>
        <v>-176243</v>
      </c>
      <c r="H136" s="86">
        <f t="shared" si="28"/>
        <v>-30545</v>
      </c>
      <c r="I136" s="86">
        <f t="shared" si="19"/>
        <v>-145698</v>
      </c>
      <c r="J136" s="86"/>
      <c r="K136" s="87"/>
      <c r="L136" s="107">
        <f t="shared" si="29"/>
        <v>-30545</v>
      </c>
      <c r="M136" s="107">
        <f t="shared" si="30"/>
        <v>-30545</v>
      </c>
      <c r="N136" s="107">
        <f t="shared" si="31"/>
        <v>-30545</v>
      </c>
      <c r="O136" s="107">
        <f t="shared" si="32"/>
        <v>-30545</v>
      </c>
      <c r="P136" s="108">
        <f t="shared" si="33"/>
        <v>-23518</v>
      </c>
      <c r="Q136" s="108">
        <f t="shared" ref="Q136:Q199" si="34">+I136-SUM(L136:P136)</f>
        <v>0</v>
      </c>
    </row>
    <row r="137" spans="1:17">
      <c r="A137" s="10">
        <v>4010</v>
      </c>
      <c r="B137" s="11" t="s">
        <v>129</v>
      </c>
      <c r="C137" s="137">
        <f>VLOOKUP(A137,'Contribution Allocation_Report'!$A$9:$D$314,4,FALSE)</f>
        <v>2.931937642233836E-4</v>
      </c>
      <c r="E137" s="144">
        <v>2.969204296511481E-4</v>
      </c>
      <c r="F137" s="92"/>
      <c r="G137" s="101">
        <f t="shared" si="27"/>
        <v>-10189</v>
      </c>
      <c r="H137" s="86">
        <f t="shared" si="28"/>
        <v>-1766</v>
      </c>
      <c r="I137" s="86">
        <f t="shared" ref="I137:I200" si="35">G137-H137</f>
        <v>-8423</v>
      </c>
      <c r="J137" s="86"/>
      <c r="K137" s="87"/>
      <c r="L137" s="107">
        <f t="shared" si="29"/>
        <v>-1766</v>
      </c>
      <c r="M137" s="107">
        <f t="shared" si="30"/>
        <v>-1766</v>
      </c>
      <c r="N137" s="107">
        <f t="shared" si="31"/>
        <v>-1766</v>
      </c>
      <c r="O137" s="107">
        <f t="shared" si="32"/>
        <v>-1766</v>
      </c>
      <c r="P137" s="108">
        <f t="shared" si="33"/>
        <v>-1359</v>
      </c>
      <c r="Q137" s="108">
        <f t="shared" si="34"/>
        <v>0</v>
      </c>
    </row>
    <row r="138" spans="1:17">
      <c r="A138" s="12">
        <v>7023</v>
      </c>
      <c r="B138" s="13" t="s">
        <v>410</v>
      </c>
      <c r="C138" s="138">
        <f>VLOOKUP(A138,'Contribution Allocation_Report'!$A$9:$D$314,4,FALSE)</f>
        <v>3.2417212138249857E-2</v>
      </c>
      <c r="E138" s="144">
        <v>3.3026328423501936E-2</v>
      </c>
      <c r="F138" s="92"/>
      <c r="G138" s="101">
        <f t="shared" si="27"/>
        <v>-1665309</v>
      </c>
      <c r="H138" s="86">
        <f t="shared" si="28"/>
        <v>-288615</v>
      </c>
      <c r="I138" s="86">
        <f t="shared" si="35"/>
        <v>-1376694</v>
      </c>
      <c r="J138" s="86"/>
      <c r="K138" s="87"/>
      <c r="L138" s="107">
        <f t="shared" si="29"/>
        <v>-288615</v>
      </c>
      <c r="M138" s="107">
        <f t="shared" si="30"/>
        <v>-288615</v>
      </c>
      <c r="N138" s="107">
        <f t="shared" si="31"/>
        <v>-288615</v>
      </c>
      <c r="O138" s="107">
        <f t="shared" si="32"/>
        <v>-288615</v>
      </c>
      <c r="P138" s="108">
        <f t="shared" si="33"/>
        <v>-222234</v>
      </c>
      <c r="Q138" s="108">
        <f t="shared" si="34"/>
        <v>0</v>
      </c>
    </row>
    <row r="139" spans="1:17">
      <c r="A139" s="10">
        <v>7338</v>
      </c>
      <c r="B139" s="11" t="s">
        <v>131</v>
      </c>
      <c r="C139" s="137">
        <f>VLOOKUP(A139,'Contribution Allocation_Report'!$A$9:$D$314,4,FALSE)</f>
        <v>2.4482095938182033E-4</v>
      </c>
      <c r="E139" s="144">
        <v>2.4200553952580091E-4</v>
      </c>
      <c r="F139" s="92"/>
      <c r="G139" s="101">
        <f t="shared" si="27"/>
        <v>7697</v>
      </c>
      <c r="H139" s="86">
        <f t="shared" si="28"/>
        <v>1334</v>
      </c>
      <c r="I139" s="86">
        <f t="shared" si="35"/>
        <v>6363</v>
      </c>
      <c r="J139" s="86"/>
      <c r="K139" s="87"/>
      <c r="L139" s="107">
        <f t="shared" si="29"/>
        <v>1334</v>
      </c>
      <c r="M139" s="107">
        <f t="shared" si="30"/>
        <v>1334</v>
      </c>
      <c r="N139" s="107">
        <f t="shared" si="31"/>
        <v>1334</v>
      </c>
      <c r="O139" s="107">
        <f t="shared" si="32"/>
        <v>1334</v>
      </c>
      <c r="P139" s="108">
        <f t="shared" si="33"/>
        <v>1027</v>
      </c>
      <c r="Q139" s="108">
        <f t="shared" si="34"/>
        <v>0</v>
      </c>
    </row>
    <row r="140" spans="1:17">
      <c r="A140" s="12">
        <v>12037</v>
      </c>
      <c r="B140" s="13" t="s">
        <v>132</v>
      </c>
      <c r="C140" s="138">
        <f>VLOOKUP(A140,'Contribution Allocation_Report'!$A$9:$D$314,4,FALSE)</f>
        <v>1.7415242089407559E-3</v>
      </c>
      <c r="E140" s="144">
        <v>1.9263945592770317E-3</v>
      </c>
      <c r="F140" s="92"/>
      <c r="G140" s="101">
        <f t="shared" si="27"/>
        <v>-505431</v>
      </c>
      <c r="H140" s="86">
        <f t="shared" si="28"/>
        <v>-87596</v>
      </c>
      <c r="I140" s="86">
        <f t="shared" si="35"/>
        <v>-417835</v>
      </c>
      <c r="J140" s="86"/>
      <c r="K140" s="87"/>
      <c r="L140" s="107">
        <f t="shared" si="29"/>
        <v>-87596</v>
      </c>
      <c r="M140" s="107">
        <f t="shared" si="30"/>
        <v>-87596</v>
      </c>
      <c r="N140" s="107">
        <f t="shared" si="31"/>
        <v>-87596</v>
      </c>
      <c r="O140" s="107">
        <f t="shared" si="32"/>
        <v>-87596</v>
      </c>
      <c r="P140" s="108">
        <f t="shared" si="33"/>
        <v>-67451</v>
      </c>
      <c r="Q140" s="108">
        <f t="shared" si="34"/>
        <v>0</v>
      </c>
    </row>
    <row r="141" spans="1:17">
      <c r="A141" s="10">
        <v>3150</v>
      </c>
      <c r="B141" s="11" t="s">
        <v>133</v>
      </c>
      <c r="C141" s="137">
        <f>VLOOKUP(A141,'Contribution Allocation_Report'!$A$9:$D$314,4,FALSE)</f>
        <v>4.352660193456267E-3</v>
      </c>
      <c r="E141" s="144">
        <v>4.3296237306948036E-3</v>
      </c>
      <c r="F141" s="92"/>
      <c r="G141" s="101">
        <f t="shared" si="27"/>
        <v>62981</v>
      </c>
      <c r="H141" s="86">
        <f t="shared" si="28"/>
        <v>10915</v>
      </c>
      <c r="I141" s="86">
        <f t="shared" si="35"/>
        <v>52066</v>
      </c>
      <c r="J141" s="86"/>
      <c r="K141" s="87"/>
      <c r="L141" s="107">
        <f t="shared" si="29"/>
        <v>10915</v>
      </c>
      <c r="M141" s="107">
        <f t="shared" si="30"/>
        <v>10915</v>
      </c>
      <c r="N141" s="107">
        <f t="shared" si="31"/>
        <v>10915</v>
      </c>
      <c r="O141" s="107">
        <f t="shared" si="32"/>
        <v>10915</v>
      </c>
      <c r="P141" s="108">
        <f t="shared" si="33"/>
        <v>8406</v>
      </c>
      <c r="Q141" s="108">
        <f t="shared" si="34"/>
        <v>0</v>
      </c>
    </row>
    <row r="142" spans="1:17">
      <c r="A142" s="12">
        <v>3160</v>
      </c>
      <c r="B142" s="13" t="s">
        <v>134</v>
      </c>
      <c r="C142" s="138">
        <f>VLOOKUP(A142,'Contribution Allocation_Report'!$A$9:$D$314,4,FALSE)</f>
        <v>8.7222951120261439E-4</v>
      </c>
      <c r="E142" s="144">
        <v>9.2646303407783006E-4</v>
      </c>
      <c r="F142" s="92"/>
      <c r="G142" s="101">
        <f t="shared" si="27"/>
        <v>-148273</v>
      </c>
      <c r="H142" s="86">
        <f t="shared" si="28"/>
        <v>-25697</v>
      </c>
      <c r="I142" s="86">
        <f t="shared" si="35"/>
        <v>-122576</v>
      </c>
      <c r="J142" s="86"/>
      <c r="K142" s="87"/>
      <c r="L142" s="107">
        <f t="shared" si="29"/>
        <v>-25697</v>
      </c>
      <c r="M142" s="107">
        <f t="shared" si="30"/>
        <v>-25697</v>
      </c>
      <c r="N142" s="107">
        <f t="shared" si="31"/>
        <v>-25697</v>
      </c>
      <c r="O142" s="107">
        <f t="shared" si="32"/>
        <v>-25697</v>
      </c>
      <c r="P142" s="108">
        <f t="shared" si="33"/>
        <v>-19788</v>
      </c>
      <c r="Q142" s="108">
        <f t="shared" si="34"/>
        <v>0</v>
      </c>
    </row>
    <row r="143" spans="1:17">
      <c r="A143" s="10">
        <v>10120</v>
      </c>
      <c r="B143" s="11" t="s">
        <v>135</v>
      </c>
      <c r="C143" s="137">
        <f>VLOOKUP(A143,'Contribution Allocation_Report'!$A$9:$D$314,4,FALSE)</f>
        <v>4.4985233722018406E-4</v>
      </c>
      <c r="E143" s="144">
        <v>4.5215667395601507E-4</v>
      </c>
      <c r="F143" s="92"/>
      <c r="G143" s="101">
        <f t="shared" si="27"/>
        <v>-6300</v>
      </c>
      <c r="H143" s="86">
        <f t="shared" si="28"/>
        <v>-1092</v>
      </c>
      <c r="I143" s="86">
        <f t="shared" si="35"/>
        <v>-5208</v>
      </c>
      <c r="J143" s="86"/>
      <c r="K143" s="87"/>
      <c r="L143" s="107">
        <f t="shared" si="29"/>
        <v>-1092</v>
      </c>
      <c r="M143" s="107">
        <f t="shared" si="30"/>
        <v>-1092</v>
      </c>
      <c r="N143" s="107">
        <f t="shared" si="31"/>
        <v>-1092</v>
      </c>
      <c r="O143" s="107">
        <f t="shared" si="32"/>
        <v>-1092</v>
      </c>
      <c r="P143" s="108">
        <f t="shared" si="33"/>
        <v>-840</v>
      </c>
      <c r="Q143" s="108">
        <f t="shared" si="34"/>
        <v>0</v>
      </c>
    </row>
    <row r="144" spans="1:17">
      <c r="A144" s="12">
        <v>23070</v>
      </c>
      <c r="B144" s="13" t="s">
        <v>136</v>
      </c>
      <c r="C144" s="138">
        <f>VLOOKUP(A144,'Contribution Allocation_Report'!$A$9:$D$314,4,FALSE)</f>
        <v>6.9976866369735806E-4</v>
      </c>
      <c r="E144" s="144">
        <v>6.7004174701554959E-4</v>
      </c>
      <c r="F144" s="92"/>
      <c r="G144" s="101">
        <f t="shared" si="27"/>
        <v>81273</v>
      </c>
      <c r="H144" s="86">
        <f t="shared" si="28"/>
        <v>14085</v>
      </c>
      <c r="I144" s="86">
        <f t="shared" si="35"/>
        <v>67188</v>
      </c>
      <c r="J144" s="86"/>
      <c r="K144" s="87"/>
      <c r="L144" s="107">
        <f t="shared" si="29"/>
        <v>14085</v>
      </c>
      <c r="M144" s="107">
        <f t="shared" si="30"/>
        <v>14085</v>
      </c>
      <c r="N144" s="107">
        <f t="shared" si="31"/>
        <v>14085</v>
      </c>
      <c r="O144" s="107">
        <f t="shared" si="32"/>
        <v>14085</v>
      </c>
      <c r="P144" s="108">
        <f t="shared" si="33"/>
        <v>10848</v>
      </c>
      <c r="Q144" s="108">
        <f t="shared" si="34"/>
        <v>0</v>
      </c>
    </row>
    <row r="145" spans="1:17">
      <c r="A145" s="10">
        <v>3170</v>
      </c>
      <c r="B145" s="11" t="s">
        <v>137</v>
      </c>
      <c r="C145" s="137">
        <f>VLOOKUP(A145,'Contribution Allocation_Report'!$A$9:$D$314,4,FALSE)</f>
        <v>1.002557350734742E-2</v>
      </c>
      <c r="E145" s="144">
        <v>9.9772126761122834E-3</v>
      </c>
      <c r="F145" s="92"/>
      <c r="G145" s="101">
        <f t="shared" si="27"/>
        <v>132217</v>
      </c>
      <c r="H145" s="86">
        <f t="shared" si="28"/>
        <v>22915</v>
      </c>
      <c r="I145" s="86">
        <f t="shared" si="35"/>
        <v>109302</v>
      </c>
      <c r="J145" s="86"/>
      <c r="K145" s="87"/>
      <c r="L145" s="107">
        <f t="shared" si="29"/>
        <v>22915</v>
      </c>
      <c r="M145" s="107">
        <f t="shared" si="30"/>
        <v>22915</v>
      </c>
      <c r="N145" s="107">
        <f t="shared" si="31"/>
        <v>22915</v>
      </c>
      <c r="O145" s="107">
        <f t="shared" si="32"/>
        <v>22915</v>
      </c>
      <c r="P145" s="108">
        <f t="shared" si="33"/>
        <v>17642</v>
      </c>
      <c r="Q145" s="108">
        <f t="shared" si="34"/>
        <v>0</v>
      </c>
    </row>
    <row r="146" spans="1:17">
      <c r="A146" s="12">
        <v>32093</v>
      </c>
      <c r="B146" s="13" t="s">
        <v>138</v>
      </c>
      <c r="C146" s="138">
        <f>VLOOKUP(A146,'Contribution Allocation_Report'!$A$9:$D$314,4,FALSE)</f>
        <v>5.8820150862832574E-3</v>
      </c>
      <c r="E146" s="144">
        <v>6.0701760631521554E-3</v>
      </c>
      <c r="F146" s="92"/>
      <c r="G146" s="101">
        <f t="shared" si="27"/>
        <v>-514427</v>
      </c>
      <c r="H146" s="86">
        <f t="shared" si="28"/>
        <v>-89155</v>
      </c>
      <c r="I146" s="86">
        <f t="shared" si="35"/>
        <v>-425272</v>
      </c>
      <c r="J146" s="86"/>
      <c r="K146" s="87"/>
      <c r="L146" s="107">
        <f t="shared" si="29"/>
        <v>-89155</v>
      </c>
      <c r="M146" s="107">
        <f t="shared" si="30"/>
        <v>-89155</v>
      </c>
      <c r="N146" s="107">
        <f t="shared" si="31"/>
        <v>-89155</v>
      </c>
      <c r="O146" s="107">
        <f t="shared" si="32"/>
        <v>-89155</v>
      </c>
      <c r="P146" s="108">
        <f t="shared" si="33"/>
        <v>-68652</v>
      </c>
      <c r="Q146" s="108">
        <f t="shared" si="34"/>
        <v>0</v>
      </c>
    </row>
    <row r="147" spans="1:17">
      <c r="A147" s="10">
        <v>14045</v>
      </c>
      <c r="B147" s="11" t="s">
        <v>139</v>
      </c>
      <c r="C147" s="137">
        <f>VLOOKUP(A147,'Contribution Allocation_Report'!$A$9:$D$314,4,FALSE)</f>
        <v>1.1264920162123521E-2</v>
      </c>
      <c r="E147" s="144">
        <v>1.1449895921993093E-2</v>
      </c>
      <c r="F147" s="92"/>
      <c r="G147" s="101">
        <f t="shared" si="27"/>
        <v>-505719</v>
      </c>
      <c r="H147" s="86">
        <f t="shared" si="28"/>
        <v>-87646</v>
      </c>
      <c r="I147" s="86">
        <f t="shared" si="35"/>
        <v>-418073</v>
      </c>
      <c r="J147" s="86"/>
      <c r="K147" s="87"/>
      <c r="L147" s="107">
        <f t="shared" si="29"/>
        <v>-87646</v>
      </c>
      <c r="M147" s="107">
        <f t="shared" si="30"/>
        <v>-87646</v>
      </c>
      <c r="N147" s="107">
        <f t="shared" si="31"/>
        <v>-87646</v>
      </c>
      <c r="O147" s="107">
        <f t="shared" si="32"/>
        <v>-87646</v>
      </c>
      <c r="P147" s="108">
        <f t="shared" si="33"/>
        <v>-67489</v>
      </c>
      <c r="Q147" s="108">
        <f t="shared" si="34"/>
        <v>0</v>
      </c>
    </row>
    <row r="148" spans="1:17">
      <c r="A148" s="12">
        <v>2322</v>
      </c>
      <c r="B148" s="13" t="s">
        <v>140</v>
      </c>
      <c r="C148" s="138">
        <f>VLOOKUP(A148,'Contribution Allocation_Report'!$A$9:$D$314,4,FALSE)</f>
        <v>1.9041630174141582E-4</v>
      </c>
      <c r="E148" s="144">
        <v>2.0493759610547431E-4</v>
      </c>
      <c r="F148" s="92"/>
      <c r="G148" s="101">
        <f t="shared" si="27"/>
        <v>-39701</v>
      </c>
      <c r="H148" s="86">
        <f t="shared" si="28"/>
        <v>-6881</v>
      </c>
      <c r="I148" s="86">
        <f t="shared" si="35"/>
        <v>-32820</v>
      </c>
      <c r="J148" s="86"/>
      <c r="K148" s="87"/>
      <c r="L148" s="107">
        <f t="shared" si="29"/>
        <v>-6881</v>
      </c>
      <c r="M148" s="107">
        <f t="shared" si="30"/>
        <v>-6881</v>
      </c>
      <c r="N148" s="107">
        <f t="shared" si="31"/>
        <v>-6881</v>
      </c>
      <c r="O148" s="107">
        <f t="shared" si="32"/>
        <v>-6881</v>
      </c>
      <c r="P148" s="108">
        <f t="shared" si="33"/>
        <v>-5296</v>
      </c>
      <c r="Q148" s="108">
        <f t="shared" si="34"/>
        <v>0</v>
      </c>
    </row>
    <row r="149" spans="1:17">
      <c r="A149" s="10">
        <v>3006</v>
      </c>
      <c r="B149" s="11" t="s">
        <v>141</v>
      </c>
      <c r="C149" s="137">
        <f>VLOOKUP(A149,'Contribution Allocation_Report'!$A$9:$D$314,4,FALSE)</f>
        <v>9.6793540053777434E-4</v>
      </c>
      <c r="E149" s="144">
        <v>8.9703480871468995E-4</v>
      </c>
      <c r="F149" s="92"/>
      <c r="G149" s="101">
        <f t="shared" si="27"/>
        <v>193840</v>
      </c>
      <c r="H149" s="86">
        <f t="shared" si="28"/>
        <v>33594</v>
      </c>
      <c r="I149" s="86">
        <f t="shared" si="35"/>
        <v>160246</v>
      </c>
      <c r="J149" s="86"/>
      <c r="K149" s="87"/>
      <c r="L149" s="107">
        <f t="shared" si="29"/>
        <v>33594</v>
      </c>
      <c r="M149" s="107">
        <f t="shared" si="30"/>
        <v>33594</v>
      </c>
      <c r="N149" s="107">
        <f t="shared" si="31"/>
        <v>33594</v>
      </c>
      <c r="O149" s="107">
        <f t="shared" si="32"/>
        <v>33594</v>
      </c>
      <c r="P149" s="108">
        <f t="shared" si="33"/>
        <v>25870</v>
      </c>
      <c r="Q149" s="108">
        <f t="shared" si="34"/>
        <v>0</v>
      </c>
    </row>
    <row r="150" spans="1:17">
      <c r="A150" s="12">
        <v>6019</v>
      </c>
      <c r="B150" s="13" t="s">
        <v>142</v>
      </c>
      <c r="C150" s="138">
        <f>VLOOKUP(A150,'Contribution Allocation_Report'!$A$9:$D$314,4,FALSE)</f>
        <v>4.8833673790129968E-3</v>
      </c>
      <c r="E150" s="144">
        <v>4.7995488342123943E-3</v>
      </c>
      <c r="F150" s="92"/>
      <c r="G150" s="101">
        <f t="shared" si="27"/>
        <v>229158</v>
      </c>
      <c r="H150" s="86">
        <f t="shared" si="28"/>
        <v>39715</v>
      </c>
      <c r="I150" s="86">
        <f t="shared" si="35"/>
        <v>189443</v>
      </c>
      <c r="J150" s="86"/>
      <c r="K150" s="87"/>
      <c r="L150" s="107">
        <f t="shared" si="29"/>
        <v>39715</v>
      </c>
      <c r="M150" s="107">
        <f t="shared" si="30"/>
        <v>39715</v>
      </c>
      <c r="N150" s="107">
        <f t="shared" si="31"/>
        <v>39715</v>
      </c>
      <c r="O150" s="107">
        <f t="shared" si="32"/>
        <v>39715</v>
      </c>
      <c r="P150" s="108">
        <f t="shared" si="33"/>
        <v>30583</v>
      </c>
      <c r="Q150" s="108">
        <f t="shared" si="34"/>
        <v>0</v>
      </c>
    </row>
    <row r="151" spans="1:17">
      <c r="A151" s="10">
        <v>12128</v>
      </c>
      <c r="B151" s="11" t="s">
        <v>143</v>
      </c>
      <c r="C151" s="137">
        <f>VLOOKUP(A151,'Contribution Allocation_Report'!$A$9:$D$314,4,FALSE)</f>
        <v>9.7148962186912094E-4</v>
      </c>
      <c r="E151" s="144">
        <v>9.2531668378353481E-4</v>
      </c>
      <c r="F151" s="92"/>
      <c r="G151" s="101">
        <f t="shared" si="27"/>
        <v>126236</v>
      </c>
      <c r="H151" s="86">
        <f t="shared" si="28"/>
        <v>21878</v>
      </c>
      <c r="I151" s="86">
        <f t="shared" si="35"/>
        <v>104358</v>
      </c>
      <c r="J151" s="86"/>
      <c r="K151" s="87"/>
      <c r="L151" s="107">
        <f t="shared" si="29"/>
        <v>21878</v>
      </c>
      <c r="M151" s="107">
        <f t="shared" si="30"/>
        <v>21878</v>
      </c>
      <c r="N151" s="107">
        <f t="shared" si="31"/>
        <v>21878</v>
      </c>
      <c r="O151" s="107">
        <f t="shared" si="32"/>
        <v>21878</v>
      </c>
      <c r="P151" s="108">
        <f t="shared" si="33"/>
        <v>16846</v>
      </c>
      <c r="Q151" s="108">
        <f t="shared" si="34"/>
        <v>0</v>
      </c>
    </row>
    <row r="152" spans="1:17">
      <c r="A152" s="12">
        <v>3180</v>
      </c>
      <c r="B152" s="13" t="s">
        <v>144</v>
      </c>
      <c r="C152" s="138">
        <f>VLOOKUP(A152,'Contribution Allocation_Report'!$A$9:$D$314,4,FALSE)</f>
        <v>1.7171092155214851E-3</v>
      </c>
      <c r="E152" s="144">
        <v>1.7163062385615734E-3</v>
      </c>
      <c r="F152" s="92"/>
      <c r="G152" s="101">
        <f t="shared" si="27"/>
        <v>2195</v>
      </c>
      <c r="H152" s="86">
        <f t="shared" si="28"/>
        <v>380</v>
      </c>
      <c r="I152" s="86">
        <f t="shared" si="35"/>
        <v>1815</v>
      </c>
      <c r="J152" s="86"/>
      <c r="K152" s="87"/>
      <c r="L152" s="107">
        <f t="shared" si="29"/>
        <v>380</v>
      </c>
      <c r="M152" s="107">
        <f t="shared" si="30"/>
        <v>380</v>
      </c>
      <c r="N152" s="107">
        <f t="shared" si="31"/>
        <v>380</v>
      </c>
      <c r="O152" s="107">
        <f t="shared" si="32"/>
        <v>380</v>
      </c>
      <c r="P152" s="108">
        <f t="shared" si="33"/>
        <v>295</v>
      </c>
      <c r="Q152" s="108">
        <f t="shared" si="34"/>
        <v>0</v>
      </c>
    </row>
    <row r="153" spans="1:17">
      <c r="A153" s="10">
        <v>25075</v>
      </c>
      <c r="B153" s="11" t="s">
        <v>145</v>
      </c>
      <c r="C153" s="137">
        <f>VLOOKUP(A153,'Contribution Allocation_Report'!$A$9:$D$314,4,FALSE)</f>
        <v>6.5669032133692932E-4</v>
      </c>
      <c r="E153" s="144">
        <v>7.5112640105107448E-4</v>
      </c>
      <c r="F153" s="92"/>
      <c r="G153" s="101">
        <f t="shared" si="27"/>
        <v>-258186</v>
      </c>
      <c r="H153" s="86">
        <f t="shared" si="28"/>
        <v>-44746</v>
      </c>
      <c r="I153" s="86">
        <f t="shared" si="35"/>
        <v>-213440</v>
      </c>
      <c r="J153" s="86"/>
      <c r="K153" s="87"/>
      <c r="L153" s="107">
        <f t="shared" si="29"/>
        <v>-44746</v>
      </c>
      <c r="M153" s="107">
        <f t="shared" si="30"/>
        <v>-44746</v>
      </c>
      <c r="N153" s="107">
        <f t="shared" si="31"/>
        <v>-44746</v>
      </c>
      <c r="O153" s="107">
        <f t="shared" si="32"/>
        <v>-44746</v>
      </c>
      <c r="P153" s="108">
        <f t="shared" si="33"/>
        <v>-34456</v>
      </c>
      <c r="Q153" s="108">
        <f t="shared" si="34"/>
        <v>0</v>
      </c>
    </row>
    <row r="154" spans="1:17">
      <c r="A154" s="12">
        <v>2311</v>
      </c>
      <c r="B154" s="43" t="s">
        <v>411</v>
      </c>
      <c r="C154" s="140">
        <f>VLOOKUP(A154,'Contribution Allocation_Report'!$A$9:$D$314,4,FALSE)</f>
        <v>3.2395768827810946E-4</v>
      </c>
      <c r="E154" s="144">
        <v>3.0942035888757258E-4</v>
      </c>
      <c r="F154" s="92"/>
      <c r="G154" s="101">
        <f t="shared" si="27"/>
        <v>39745</v>
      </c>
      <c r="H154" s="86">
        <f t="shared" si="28"/>
        <v>6888</v>
      </c>
      <c r="I154" s="86">
        <f t="shared" si="35"/>
        <v>32857</v>
      </c>
      <c r="J154" s="86"/>
      <c r="K154" s="87"/>
      <c r="L154" s="107">
        <f t="shared" si="29"/>
        <v>6888</v>
      </c>
      <c r="M154" s="107">
        <f t="shared" si="30"/>
        <v>6888</v>
      </c>
      <c r="N154" s="107">
        <f t="shared" si="31"/>
        <v>6888</v>
      </c>
      <c r="O154" s="107">
        <f t="shared" si="32"/>
        <v>6888</v>
      </c>
      <c r="P154" s="108">
        <f t="shared" si="33"/>
        <v>5305</v>
      </c>
      <c r="Q154" s="108">
        <f t="shared" si="34"/>
        <v>0</v>
      </c>
    </row>
    <row r="155" spans="1:17">
      <c r="A155" s="10">
        <v>9028</v>
      </c>
      <c r="B155" s="11" t="s">
        <v>146</v>
      </c>
      <c r="C155" s="137">
        <f>VLOOKUP(A155,'Contribution Allocation_Report'!$A$9:$D$314,4,FALSE)</f>
        <v>2.64649385024955E-4</v>
      </c>
      <c r="E155" s="144">
        <v>2.5451332047656986E-4</v>
      </c>
      <c r="F155" s="92"/>
      <c r="G155" s="101">
        <f t="shared" si="27"/>
        <v>27712</v>
      </c>
      <c r="H155" s="86">
        <f t="shared" si="28"/>
        <v>4803</v>
      </c>
      <c r="I155" s="86">
        <f t="shared" si="35"/>
        <v>22909</v>
      </c>
      <c r="J155" s="86"/>
      <c r="K155" s="87"/>
      <c r="L155" s="107">
        <f t="shared" si="29"/>
        <v>4803</v>
      </c>
      <c r="M155" s="107">
        <f t="shared" si="30"/>
        <v>4803</v>
      </c>
      <c r="N155" s="107">
        <f t="shared" si="31"/>
        <v>4803</v>
      </c>
      <c r="O155" s="107">
        <f t="shared" si="32"/>
        <v>4803</v>
      </c>
      <c r="P155" s="108">
        <f t="shared" si="33"/>
        <v>3697</v>
      </c>
      <c r="Q155" s="108">
        <f t="shared" si="34"/>
        <v>0</v>
      </c>
    </row>
    <row r="156" spans="1:17">
      <c r="A156" s="183">
        <v>17424</v>
      </c>
      <c r="B156" s="184" t="s">
        <v>147</v>
      </c>
      <c r="C156" s="140">
        <f>VLOOKUP(A156,'Contribution Allocation_Report'!$A$9:$D$314,4,FALSE)</f>
        <v>5.4056609410446925E-4</v>
      </c>
      <c r="E156" s="144">
        <v>5.4422587635947822E-4</v>
      </c>
      <c r="F156" s="92"/>
      <c r="G156" s="101">
        <f t="shared" si="27"/>
        <v>-10006</v>
      </c>
      <c r="H156" s="86">
        <f t="shared" si="28"/>
        <v>-1734</v>
      </c>
      <c r="I156" s="86">
        <f t="shared" si="35"/>
        <v>-8272</v>
      </c>
      <c r="J156" s="86"/>
      <c r="K156" s="87"/>
      <c r="L156" s="107">
        <f t="shared" si="29"/>
        <v>-1734</v>
      </c>
      <c r="M156" s="107">
        <f t="shared" si="30"/>
        <v>-1734</v>
      </c>
      <c r="N156" s="107">
        <f t="shared" si="31"/>
        <v>-1734</v>
      </c>
      <c r="O156" s="107">
        <f t="shared" si="32"/>
        <v>-1734</v>
      </c>
      <c r="P156" s="108">
        <f t="shared" si="33"/>
        <v>-1336</v>
      </c>
      <c r="Q156" s="108">
        <f t="shared" si="34"/>
        <v>0</v>
      </c>
    </row>
    <row r="157" spans="1:17">
      <c r="A157" s="10">
        <v>3200</v>
      </c>
      <c r="B157" s="11" t="s">
        <v>148</v>
      </c>
      <c r="C157" s="137">
        <f>VLOOKUP(A157,'Contribution Allocation_Report'!$A$9:$D$314,4,FALSE)</f>
        <v>1.8800282323156159E-3</v>
      </c>
      <c r="E157" s="144">
        <v>1.779920828180613E-3</v>
      </c>
      <c r="F157" s="92"/>
      <c r="G157" s="101">
        <f t="shared" si="27"/>
        <v>273691</v>
      </c>
      <c r="H157" s="86">
        <f t="shared" si="28"/>
        <v>47433</v>
      </c>
      <c r="I157" s="86">
        <f t="shared" si="35"/>
        <v>226258</v>
      </c>
      <c r="J157" s="86"/>
      <c r="K157" s="87"/>
      <c r="L157" s="107">
        <f t="shared" si="29"/>
        <v>47433</v>
      </c>
      <c r="M157" s="107">
        <f t="shared" si="30"/>
        <v>47433</v>
      </c>
      <c r="N157" s="107">
        <f t="shared" si="31"/>
        <v>47433</v>
      </c>
      <c r="O157" s="107">
        <f t="shared" si="32"/>
        <v>47433</v>
      </c>
      <c r="P157" s="108">
        <f t="shared" si="33"/>
        <v>36526</v>
      </c>
      <c r="Q157" s="108">
        <f t="shared" si="34"/>
        <v>0</v>
      </c>
    </row>
    <row r="158" spans="1:17">
      <c r="A158" s="12">
        <v>2365</v>
      </c>
      <c r="B158" s="13" t="s">
        <v>149</v>
      </c>
      <c r="C158" s="138">
        <f>VLOOKUP(A158,'Contribution Allocation_Report'!$A$9:$D$314,4,FALSE)</f>
        <v>1.7983475068232386E-4</v>
      </c>
      <c r="E158" s="144">
        <v>2.117293290134562E-4</v>
      </c>
      <c r="F158" s="92"/>
      <c r="G158" s="101">
        <f t="shared" si="27"/>
        <v>-87199</v>
      </c>
      <c r="H158" s="86">
        <f t="shared" si="28"/>
        <v>-15112</v>
      </c>
      <c r="I158" s="86">
        <f t="shared" si="35"/>
        <v>-72087</v>
      </c>
      <c r="J158" s="86"/>
      <c r="K158" s="87"/>
      <c r="L158" s="107">
        <f t="shared" si="29"/>
        <v>-15112</v>
      </c>
      <c r="M158" s="107">
        <f t="shared" si="30"/>
        <v>-15112</v>
      </c>
      <c r="N158" s="107">
        <f t="shared" si="31"/>
        <v>-15112</v>
      </c>
      <c r="O158" s="107">
        <f t="shared" si="32"/>
        <v>-15112</v>
      </c>
      <c r="P158" s="108">
        <f t="shared" si="33"/>
        <v>-11639</v>
      </c>
      <c r="Q158" s="108">
        <f t="shared" si="34"/>
        <v>0</v>
      </c>
    </row>
    <row r="159" spans="1:17">
      <c r="A159" s="10">
        <v>5014</v>
      </c>
      <c r="B159" s="11" t="s">
        <v>150</v>
      </c>
      <c r="C159" s="137">
        <f>VLOOKUP(A159,'Contribution Allocation_Report'!$A$9:$D$314,4,FALSE)</f>
        <v>3.880885242090661E-4</v>
      </c>
      <c r="E159" s="144">
        <v>3.8413727258971783E-4</v>
      </c>
      <c r="F159" s="92"/>
      <c r="G159" s="101">
        <f t="shared" si="27"/>
        <v>10803</v>
      </c>
      <c r="H159" s="86">
        <f t="shared" si="28"/>
        <v>1872</v>
      </c>
      <c r="I159" s="86">
        <f t="shared" si="35"/>
        <v>8931</v>
      </c>
      <c r="J159" s="86"/>
      <c r="K159" s="87"/>
      <c r="L159" s="107">
        <f t="shared" si="29"/>
        <v>1872</v>
      </c>
      <c r="M159" s="107">
        <f t="shared" si="30"/>
        <v>1872</v>
      </c>
      <c r="N159" s="107">
        <f t="shared" si="31"/>
        <v>1872</v>
      </c>
      <c r="O159" s="107">
        <f t="shared" si="32"/>
        <v>1872</v>
      </c>
      <c r="P159" s="108">
        <f t="shared" si="33"/>
        <v>1443</v>
      </c>
      <c r="Q159" s="108">
        <f t="shared" si="34"/>
        <v>0</v>
      </c>
    </row>
    <row r="160" spans="1:17">
      <c r="A160" s="12">
        <v>17127</v>
      </c>
      <c r="B160" s="13" t="s">
        <v>151</v>
      </c>
      <c r="C160" s="138">
        <f>VLOOKUP(A160,'Contribution Allocation_Report'!$A$9:$D$314,4,FALSE)</f>
        <v>4.0189984485971365E-4</v>
      </c>
      <c r="E160" s="144">
        <v>4.3433328239402788E-4</v>
      </c>
      <c r="F160" s="92"/>
      <c r="G160" s="101">
        <f t="shared" si="27"/>
        <v>-88672</v>
      </c>
      <c r="H160" s="86">
        <f t="shared" si="28"/>
        <v>-15368</v>
      </c>
      <c r="I160" s="86">
        <f t="shared" si="35"/>
        <v>-73304</v>
      </c>
      <c r="J160" s="86"/>
      <c r="K160" s="87"/>
      <c r="L160" s="107">
        <f t="shared" si="29"/>
        <v>-15368</v>
      </c>
      <c r="M160" s="107">
        <f t="shared" si="30"/>
        <v>-15368</v>
      </c>
      <c r="N160" s="107">
        <f t="shared" si="31"/>
        <v>-15368</v>
      </c>
      <c r="O160" s="107">
        <f t="shared" si="32"/>
        <v>-15368</v>
      </c>
      <c r="P160" s="108">
        <f t="shared" si="33"/>
        <v>-11832</v>
      </c>
      <c r="Q160" s="108">
        <f t="shared" si="34"/>
        <v>0</v>
      </c>
    </row>
    <row r="161" spans="1:17">
      <c r="A161" s="10">
        <v>10141</v>
      </c>
      <c r="B161" s="11" t="s">
        <v>152</v>
      </c>
      <c r="C161" s="137">
        <f>VLOOKUP(A161,'Contribution Allocation_Report'!$A$9:$D$314,4,FALSE)</f>
        <v>5.6206102186562128E-4</v>
      </c>
      <c r="E161" s="144">
        <v>5.5868873418202464E-4</v>
      </c>
      <c r="F161" s="92"/>
      <c r="G161" s="101">
        <f t="shared" si="27"/>
        <v>9220</v>
      </c>
      <c r="H161" s="86">
        <f t="shared" si="28"/>
        <v>1598</v>
      </c>
      <c r="I161" s="86">
        <f t="shared" si="35"/>
        <v>7622</v>
      </c>
      <c r="J161" s="86"/>
      <c r="K161" s="87"/>
      <c r="L161" s="107">
        <f t="shared" si="29"/>
        <v>1598</v>
      </c>
      <c r="M161" s="107">
        <f t="shared" si="30"/>
        <v>1598</v>
      </c>
      <c r="N161" s="107">
        <f t="shared" si="31"/>
        <v>1598</v>
      </c>
      <c r="O161" s="107">
        <f t="shared" si="32"/>
        <v>1598</v>
      </c>
      <c r="P161" s="108">
        <f t="shared" si="33"/>
        <v>1230</v>
      </c>
      <c r="Q161" s="108">
        <f t="shared" si="34"/>
        <v>0</v>
      </c>
    </row>
    <row r="162" spans="1:17">
      <c r="A162" s="12">
        <v>13369</v>
      </c>
      <c r="B162" s="13" t="s">
        <v>153</v>
      </c>
      <c r="C162" s="138">
        <f>VLOOKUP(A162,'Contribution Allocation_Report'!$A$9:$D$314,4,FALSE)</f>
        <v>1.3618124387408385E-4</v>
      </c>
      <c r="E162" s="144">
        <v>1.4179410934710395E-4</v>
      </c>
      <c r="F162" s="92"/>
      <c r="G162" s="101">
        <f t="shared" si="27"/>
        <v>-15345</v>
      </c>
      <c r="H162" s="86">
        <f t="shared" si="28"/>
        <v>-2659</v>
      </c>
      <c r="I162" s="86">
        <f t="shared" si="35"/>
        <v>-12686</v>
      </c>
      <c r="J162" s="86"/>
      <c r="K162" s="87"/>
      <c r="L162" s="107">
        <f t="shared" si="29"/>
        <v>-2659</v>
      </c>
      <c r="M162" s="107">
        <f t="shared" si="30"/>
        <v>-2659</v>
      </c>
      <c r="N162" s="107">
        <f t="shared" si="31"/>
        <v>-2659</v>
      </c>
      <c r="O162" s="107">
        <f t="shared" si="32"/>
        <v>-2659</v>
      </c>
      <c r="P162" s="108">
        <f t="shared" si="33"/>
        <v>-2050</v>
      </c>
      <c r="Q162" s="108">
        <f t="shared" si="34"/>
        <v>0</v>
      </c>
    </row>
    <row r="163" spans="1:17">
      <c r="A163" s="10">
        <v>4570</v>
      </c>
      <c r="B163" s="11" t="s">
        <v>395</v>
      </c>
      <c r="C163" s="137">
        <f>VLOOKUP(A163,'Contribution Allocation_Report'!$A$9:$D$314,4,FALSE)</f>
        <v>1.5375546731598898E-3</v>
      </c>
      <c r="E163" s="144">
        <v>1.5173045385005318E-3</v>
      </c>
      <c r="F163" s="92"/>
      <c r="G163" s="101">
        <f t="shared" si="27"/>
        <v>55363</v>
      </c>
      <c r="H163" s="86">
        <f t="shared" si="28"/>
        <v>9595</v>
      </c>
      <c r="I163" s="86">
        <f t="shared" si="35"/>
        <v>45768</v>
      </c>
      <c r="J163" s="86"/>
      <c r="K163" s="87"/>
      <c r="L163" s="107">
        <f t="shared" si="29"/>
        <v>9595</v>
      </c>
      <c r="M163" s="107">
        <f t="shared" si="30"/>
        <v>9595</v>
      </c>
      <c r="N163" s="107">
        <f t="shared" si="31"/>
        <v>9595</v>
      </c>
      <c r="O163" s="107">
        <f t="shared" si="32"/>
        <v>9595</v>
      </c>
      <c r="P163" s="108">
        <f t="shared" si="33"/>
        <v>7388</v>
      </c>
      <c r="Q163" s="108">
        <f t="shared" si="34"/>
        <v>0</v>
      </c>
    </row>
    <row r="164" spans="1:17">
      <c r="A164" s="12">
        <v>2425</v>
      </c>
      <c r="B164" s="13" t="s">
        <v>154</v>
      </c>
      <c r="C164" s="138">
        <f>VLOOKUP(A164,'Contribution Allocation_Report'!$A$9:$D$314,4,FALSE)</f>
        <v>2.4645132937426996E-3</v>
      </c>
      <c r="E164" s="144">
        <v>2.5248993368999538E-3</v>
      </c>
      <c r="F164" s="92"/>
      <c r="G164" s="101">
        <f t="shared" si="27"/>
        <v>-165094</v>
      </c>
      <c r="H164" s="86">
        <f t="shared" si="28"/>
        <v>-28612</v>
      </c>
      <c r="I164" s="86">
        <f t="shared" si="35"/>
        <v>-136482</v>
      </c>
      <c r="J164" s="86"/>
      <c r="K164" s="87"/>
      <c r="L164" s="107">
        <f t="shared" si="29"/>
        <v>-28612</v>
      </c>
      <c r="M164" s="107">
        <f t="shared" si="30"/>
        <v>-28612</v>
      </c>
      <c r="N164" s="107">
        <f t="shared" si="31"/>
        <v>-28612</v>
      </c>
      <c r="O164" s="107">
        <f t="shared" si="32"/>
        <v>-28612</v>
      </c>
      <c r="P164" s="108">
        <f t="shared" si="33"/>
        <v>-22034</v>
      </c>
      <c r="Q164" s="108">
        <f t="shared" si="34"/>
        <v>0</v>
      </c>
    </row>
    <row r="165" spans="1:17">
      <c r="A165" s="10">
        <v>1306</v>
      </c>
      <c r="B165" s="11" t="s">
        <v>155</v>
      </c>
      <c r="C165" s="137">
        <f>VLOOKUP(A165,'Contribution Allocation_Report'!$A$9:$D$314,4,FALSE)</f>
        <v>4.8279893661532197E-4</v>
      </c>
      <c r="E165" s="144">
        <v>4.2753369777170154E-4</v>
      </c>
      <c r="F165" s="92"/>
      <c r="G165" s="101">
        <f t="shared" si="27"/>
        <v>151094</v>
      </c>
      <c r="H165" s="86">
        <f t="shared" si="28"/>
        <v>26186</v>
      </c>
      <c r="I165" s="86">
        <f t="shared" si="35"/>
        <v>124908</v>
      </c>
      <c r="J165" s="86"/>
      <c r="K165" s="87"/>
      <c r="L165" s="107">
        <f t="shared" si="29"/>
        <v>26186</v>
      </c>
      <c r="M165" s="107">
        <f t="shared" si="30"/>
        <v>26186</v>
      </c>
      <c r="N165" s="107">
        <f t="shared" si="31"/>
        <v>26186</v>
      </c>
      <c r="O165" s="107">
        <f t="shared" si="32"/>
        <v>26186</v>
      </c>
      <c r="P165" s="108">
        <f t="shared" si="33"/>
        <v>20164</v>
      </c>
      <c r="Q165" s="108">
        <f t="shared" si="34"/>
        <v>0</v>
      </c>
    </row>
    <row r="166" spans="1:17">
      <c r="A166" s="12">
        <v>2351</v>
      </c>
      <c r="B166" s="13" t="s">
        <v>156</v>
      </c>
      <c r="C166" s="138">
        <f>VLOOKUP(A166,'Contribution Allocation_Report'!$A$9:$D$314,4,FALSE)</f>
        <v>4.7697355310543857E-4</v>
      </c>
      <c r="E166" s="144">
        <v>4.6978377265939001E-4</v>
      </c>
      <c r="F166" s="92"/>
      <c r="G166" s="101">
        <f t="shared" si="27"/>
        <v>19657</v>
      </c>
      <c r="H166" s="86">
        <f t="shared" si="28"/>
        <v>3407</v>
      </c>
      <c r="I166" s="86">
        <f t="shared" si="35"/>
        <v>16250</v>
      </c>
      <c r="J166" s="86"/>
      <c r="K166" s="87"/>
      <c r="L166" s="107">
        <f t="shared" si="29"/>
        <v>3407</v>
      </c>
      <c r="M166" s="107">
        <f t="shared" si="30"/>
        <v>3407</v>
      </c>
      <c r="N166" s="107">
        <f t="shared" si="31"/>
        <v>3407</v>
      </c>
      <c r="O166" s="107">
        <f t="shared" si="32"/>
        <v>3407</v>
      </c>
      <c r="P166" s="108">
        <f t="shared" si="33"/>
        <v>2622</v>
      </c>
      <c r="Q166" s="108">
        <f t="shared" si="34"/>
        <v>0</v>
      </c>
    </row>
    <row r="167" spans="1:17">
      <c r="A167" s="10">
        <v>2334</v>
      </c>
      <c r="B167" s="11" t="s">
        <v>157</v>
      </c>
      <c r="C167" s="137">
        <f>VLOOKUP(A167,'Contribution Allocation_Report'!$A$9:$D$314,4,FALSE)</f>
        <v>3.142241360843803E-4</v>
      </c>
      <c r="E167" s="144">
        <v>3.2794255302621912E-4</v>
      </c>
      <c r="F167" s="92"/>
      <c r="G167" s="101">
        <f t="shared" si="27"/>
        <v>-37506</v>
      </c>
      <c r="H167" s="86">
        <f t="shared" si="28"/>
        <v>-6500</v>
      </c>
      <c r="I167" s="86">
        <f t="shared" si="35"/>
        <v>-31006</v>
      </c>
      <c r="J167" s="86"/>
      <c r="K167" s="87"/>
      <c r="L167" s="107">
        <f t="shared" si="29"/>
        <v>-6500</v>
      </c>
      <c r="M167" s="107">
        <f t="shared" si="30"/>
        <v>-6500</v>
      </c>
      <c r="N167" s="107">
        <f t="shared" si="31"/>
        <v>-6500</v>
      </c>
      <c r="O167" s="107">
        <f t="shared" si="32"/>
        <v>-6500</v>
      </c>
      <c r="P167" s="108">
        <f t="shared" si="33"/>
        <v>-5006</v>
      </c>
      <c r="Q167" s="108">
        <f t="shared" si="34"/>
        <v>0</v>
      </c>
    </row>
    <row r="168" spans="1:17">
      <c r="A168" s="12">
        <v>30089</v>
      </c>
      <c r="B168" s="13" t="s">
        <v>158</v>
      </c>
      <c r="C168" s="138">
        <f>VLOOKUP(A168,'Contribution Allocation_Report'!$A$9:$D$314,4,FALSE)</f>
        <v>7.3201474229067458E-4</v>
      </c>
      <c r="E168" s="144">
        <v>8.2234930186992272E-4</v>
      </c>
      <c r="F168" s="92"/>
      <c r="G168" s="101">
        <f t="shared" si="27"/>
        <v>-246972</v>
      </c>
      <c r="H168" s="86">
        <f t="shared" si="28"/>
        <v>-42803</v>
      </c>
      <c r="I168" s="86">
        <f t="shared" si="35"/>
        <v>-204169</v>
      </c>
      <c r="J168" s="86"/>
      <c r="K168" s="87"/>
      <c r="L168" s="107">
        <f t="shared" si="29"/>
        <v>-42803</v>
      </c>
      <c r="M168" s="107">
        <f t="shared" si="30"/>
        <v>-42803</v>
      </c>
      <c r="N168" s="107">
        <f t="shared" si="31"/>
        <v>-42803</v>
      </c>
      <c r="O168" s="107">
        <f t="shared" si="32"/>
        <v>-42803</v>
      </c>
      <c r="P168" s="108">
        <f t="shared" si="33"/>
        <v>-32957</v>
      </c>
      <c r="Q168" s="108">
        <f t="shared" si="34"/>
        <v>0</v>
      </c>
    </row>
    <row r="169" spans="1:17">
      <c r="A169" s="10">
        <v>9324</v>
      </c>
      <c r="B169" s="11" t="s">
        <v>159</v>
      </c>
      <c r="C169" s="137">
        <f>VLOOKUP(A169,'Contribution Allocation_Report'!$A$9:$D$314,4,FALSE)</f>
        <v>7.7344870424261717E-5</v>
      </c>
      <c r="E169" s="144">
        <v>9.9120041884813136E-5</v>
      </c>
      <c r="F169" s="92"/>
      <c r="G169" s="101">
        <f t="shared" si="27"/>
        <v>-59533</v>
      </c>
      <c r="H169" s="86">
        <f t="shared" si="28"/>
        <v>-10318</v>
      </c>
      <c r="I169" s="86">
        <f t="shared" si="35"/>
        <v>-49215</v>
      </c>
      <c r="J169" s="86"/>
      <c r="K169" s="87"/>
      <c r="L169" s="107">
        <f t="shared" si="29"/>
        <v>-10318</v>
      </c>
      <c r="M169" s="107">
        <f t="shared" si="30"/>
        <v>-10318</v>
      </c>
      <c r="N169" s="107">
        <f t="shared" si="31"/>
        <v>-10318</v>
      </c>
      <c r="O169" s="107">
        <f t="shared" si="32"/>
        <v>-10318</v>
      </c>
      <c r="P169" s="108">
        <f t="shared" si="33"/>
        <v>-7943</v>
      </c>
      <c r="Q169" s="108">
        <f t="shared" si="34"/>
        <v>0</v>
      </c>
    </row>
    <row r="170" spans="1:17">
      <c r="A170" s="12">
        <v>22066</v>
      </c>
      <c r="B170" s="13" t="s">
        <v>160</v>
      </c>
      <c r="C170" s="138">
        <f>VLOOKUP(A170,'Contribution Allocation_Report'!$A$9:$D$314,4,FALSE)</f>
        <v>3.4300374279415727E-3</v>
      </c>
      <c r="E170" s="144">
        <v>3.5010715744927356E-3</v>
      </c>
      <c r="F170" s="92"/>
      <c r="G170" s="101">
        <f t="shared" si="27"/>
        <v>-194206</v>
      </c>
      <c r="H170" s="86">
        <f t="shared" si="28"/>
        <v>-33658</v>
      </c>
      <c r="I170" s="86">
        <f t="shared" si="35"/>
        <v>-160548</v>
      </c>
      <c r="J170" s="86"/>
      <c r="K170" s="87"/>
      <c r="L170" s="107">
        <f t="shared" si="29"/>
        <v>-33658</v>
      </c>
      <c r="M170" s="107">
        <f t="shared" si="30"/>
        <v>-33658</v>
      </c>
      <c r="N170" s="107">
        <f t="shared" si="31"/>
        <v>-33658</v>
      </c>
      <c r="O170" s="107">
        <f t="shared" si="32"/>
        <v>-33658</v>
      </c>
      <c r="P170" s="108">
        <f t="shared" si="33"/>
        <v>-25916</v>
      </c>
      <c r="Q170" s="108">
        <f t="shared" si="34"/>
        <v>0</v>
      </c>
    </row>
    <row r="171" spans="1:17">
      <c r="A171" s="10">
        <v>16356</v>
      </c>
      <c r="B171" s="11" t="s">
        <v>161</v>
      </c>
      <c r="C171" s="137">
        <f>VLOOKUP(A171,'Contribution Allocation_Report'!$A$9:$D$314,4,FALSE)</f>
        <v>2.2884908510029198E-4</v>
      </c>
      <c r="E171" s="144">
        <v>2.1683294333737322E-4</v>
      </c>
      <c r="F171" s="92"/>
      <c r="G171" s="101">
        <f t="shared" si="27"/>
        <v>32852</v>
      </c>
      <c r="H171" s="86">
        <f t="shared" si="28"/>
        <v>5694</v>
      </c>
      <c r="I171" s="86">
        <f t="shared" si="35"/>
        <v>27158</v>
      </c>
      <c r="J171" s="86"/>
      <c r="K171" s="87"/>
      <c r="L171" s="107">
        <f t="shared" si="29"/>
        <v>5694</v>
      </c>
      <c r="M171" s="107">
        <f t="shared" si="30"/>
        <v>5694</v>
      </c>
      <c r="N171" s="107">
        <f t="shared" si="31"/>
        <v>5694</v>
      </c>
      <c r="O171" s="107">
        <f t="shared" si="32"/>
        <v>5694</v>
      </c>
      <c r="P171" s="108">
        <f t="shared" si="33"/>
        <v>4382</v>
      </c>
      <c r="Q171" s="108">
        <f t="shared" si="34"/>
        <v>0</v>
      </c>
    </row>
    <row r="172" spans="1:17">
      <c r="A172" s="12">
        <v>31091</v>
      </c>
      <c r="B172" s="13" t="s">
        <v>162</v>
      </c>
      <c r="C172" s="138">
        <f>VLOOKUP(A172,'Contribution Allocation_Report'!$A$9:$D$314,4,FALSE)</f>
        <v>2.0538532519086297E-4</v>
      </c>
      <c r="E172" s="144">
        <v>2.0433301410094874E-4</v>
      </c>
      <c r="F172" s="92"/>
      <c r="G172" s="101">
        <f t="shared" si="27"/>
        <v>2877</v>
      </c>
      <c r="H172" s="86">
        <f t="shared" si="28"/>
        <v>499</v>
      </c>
      <c r="I172" s="86">
        <f t="shared" si="35"/>
        <v>2378</v>
      </c>
      <c r="J172" s="86"/>
      <c r="K172" s="87"/>
      <c r="L172" s="107">
        <f t="shared" si="29"/>
        <v>499</v>
      </c>
      <c r="M172" s="107">
        <f t="shared" si="30"/>
        <v>499</v>
      </c>
      <c r="N172" s="107">
        <f t="shared" si="31"/>
        <v>499</v>
      </c>
      <c r="O172" s="107">
        <f t="shared" si="32"/>
        <v>499</v>
      </c>
      <c r="P172" s="108">
        <f t="shared" si="33"/>
        <v>382</v>
      </c>
      <c r="Q172" s="108">
        <f t="shared" si="34"/>
        <v>0</v>
      </c>
    </row>
    <row r="173" spans="1:17">
      <c r="A173" s="10">
        <v>2342</v>
      </c>
      <c r="B173" s="11" t="s">
        <v>163</v>
      </c>
      <c r="C173" s="137">
        <f>VLOOKUP(A173,'Contribution Allocation_Report'!$A$9:$D$314,4,FALSE)</f>
        <v>3.4975160159149182E-4</v>
      </c>
      <c r="E173" s="144">
        <v>3.306356910463784E-4</v>
      </c>
      <c r="F173" s="92"/>
      <c r="G173" s="101">
        <f t="shared" si="27"/>
        <v>52262</v>
      </c>
      <c r="H173" s="86">
        <f t="shared" si="28"/>
        <v>9058</v>
      </c>
      <c r="I173" s="86">
        <f t="shared" si="35"/>
        <v>43204</v>
      </c>
      <c r="J173" s="86"/>
      <c r="K173" s="87"/>
      <c r="L173" s="107">
        <f t="shared" si="29"/>
        <v>9058</v>
      </c>
      <c r="M173" s="107">
        <f t="shared" si="30"/>
        <v>9058</v>
      </c>
      <c r="N173" s="107">
        <f t="shared" si="31"/>
        <v>9058</v>
      </c>
      <c r="O173" s="107">
        <f t="shared" si="32"/>
        <v>9058</v>
      </c>
      <c r="P173" s="108">
        <f t="shared" si="33"/>
        <v>6972</v>
      </c>
      <c r="Q173" s="108">
        <f t="shared" si="34"/>
        <v>0</v>
      </c>
    </row>
    <row r="174" spans="1:17">
      <c r="A174" s="12">
        <v>22067</v>
      </c>
      <c r="B174" s="13" t="s">
        <v>164</v>
      </c>
      <c r="C174" s="138">
        <f>VLOOKUP(A174,'Contribution Allocation_Report'!$A$9:$D$314,4,FALSE)</f>
        <v>4.2211171346805587E-4</v>
      </c>
      <c r="E174" s="144">
        <v>4.7397658811934644E-4</v>
      </c>
      <c r="F174" s="92"/>
      <c r="G174" s="101">
        <f t="shared" si="27"/>
        <v>-141797</v>
      </c>
      <c r="H174" s="86">
        <f t="shared" si="28"/>
        <v>-24575</v>
      </c>
      <c r="I174" s="86">
        <f t="shared" si="35"/>
        <v>-117222</v>
      </c>
      <c r="J174" s="86"/>
      <c r="K174" s="87"/>
      <c r="L174" s="107">
        <f t="shared" si="29"/>
        <v>-24575</v>
      </c>
      <c r="M174" s="107">
        <f t="shared" si="30"/>
        <v>-24575</v>
      </c>
      <c r="N174" s="107">
        <f t="shared" si="31"/>
        <v>-24575</v>
      </c>
      <c r="O174" s="107">
        <f t="shared" si="32"/>
        <v>-24575</v>
      </c>
      <c r="P174" s="108">
        <f t="shared" si="33"/>
        <v>-18922</v>
      </c>
      <c r="Q174" s="108">
        <f t="shared" si="34"/>
        <v>0</v>
      </c>
    </row>
    <row r="175" spans="1:17">
      <c r="A175" s="10">
        <v>25616</v>
      </c>
      <c r="B175" s="11" t="s">
        <v>165</v>
      </c>
      <c r="C175" s="137">
        <f>VLOOKUP(A175,'Contribution Allocation_Report'!$A$9:$D$314,4,FALSE)</f>
        <v>1.6898773910885745E-4</v>
      </c>
      <c r="E175" s="144">
        <v>1.8319619908558778E-4</v>
      </c>
      <c r="F175" s="92"/>
      <c r="G175" s="101">
        <f t="shared" si="27"/>
        <v>-38846</v>
      </c>
      <c r="H175" s="86">
        <f t="shared" si="28"/>
        <v>-6732</v>
      </c>
      <c r="I175" s="86">
        <f t="shared" si="35"/>
        <v>-32114</v>
      </c>
      <c r="J175" s="86"/>
      <c r="K175" s="87"/>
      <c r="L175" s="107">
        <f t="shared" si="29"/>
        <v>-6732</v>
      </c>
      <c r="M175" s="107">
        <f t="shared" si="30"/>
        <v>-6732</v>
      </c>
      <c r="N175" s="107">
        <f t="shared" si="31"/>
        <v>-6732</v>
      </c>
      <c r="O175" s="107">
        <f t="shared" si="32"/>
        <v>-6732</v>
      </c>
      <c r="P175" s="108">
        <f t="shared" si="33"/>
        <v>-5186</v>
      </c>
      <c r="Q175" s="108">
        <f t="shared" si="34"/>
        <v>0</v>
      </c>
    </row>
    <row r="176" spans="1:17">
      <c r="A176" s="12">
        <v>2354</v>
      </c>
      <c r="B176" s="13" t="s">
        <v>166</v>
      </c>
      <c r="C176" s="138">
        <f>VLOOKUP(A176,'Contribution Allocation_Report'!$A$9:$D$314,4,FALSE)</f>
        <v>7.1908829002127511E-4</v>
      </c>
      <c r="E176" s="144">
        <v>7.3817892409701422E-4</v>
      </c>
      <c r="F176" s="92"/>
      <c r="G176" s="101">
        <f t="shared" si="27"/>
        <v>-52193</v>
      </c>
      <c r="H176" s="86">
        <f t="shared" si="28"/>
        <v>-9046</v>
      </c>
      <c r="I176" s="86">
        <f t="shared" si="35"/>
        <v>-43147</v>
      </c>
      <c r="J176" s="86"/>
      <c r="K176" s="87"/>
      <c r="L176" s="107">
        <f t="shared" si="29"/>
        <v>-9046</v>
      </c>
      <c r="M176" s="107">
        <f t="shared" si="30"/>
        <v>-9046</v>
      </c>
      <c r="N176" s="107">
        <f t="shared" si="31"/>
        <v>-9046</v>
      </c>
      <c r="O176" s="107">
        <f t="shared" si="32"/>
        <v>-9046</v>
      </c>
      <c r="P176" s="108">
        <f t="shared" si="33"/>
        <v>-6963</v>
      </c>
      <c r="Q176" s="108">
        <f t="shared" si="34"/>
        <v>0</v>
      </c>
    </row>
    <row r="177" spans="1:17">
      <c r="A177" s="10">
        <v>2148</v>
      </c>
      <c r="B177" s="11" t="s">
        <v>167</v>
      </c>
      <c r="C177" s="137">
        <f>VLOOKUP(A177,'Contribution Allocation_Report'!$A$9:$D$314,4,FALSE)</f>
        <v>1.9753949221046308E-4</v>
      </c>
      <c r="E177" s="144">
        <v>2.1647176447752678E-4</v>
      </c>
      <c r="F177" s="92"/>
      <c r="G177" s="101">
        <f t="shared" si="27"/>
        <v>-51760</v>
      </c>
      <c r="H177" s="86">
        <f t="shared" si="28"/>
        <v>-8971</v>
      </c>
      <c r="I177" s="86">
        <f t="shared" si="35"/>
        <v>-42789</v>
      </c>
      <c r="J177" s="86"/>
      <c r="K177" s="87"/>
      <c r="L177" s="107">
        <f t="shared" si="29"/>
        <v>-8971</v>
      </c>
      <c r="M177" s="107">
        <f t="shared" si="30"/>
        <v>-8971</v>
      </c>
      <c r="N177" s="107">
        <f t="shared" si="31"/>
        <v>-8971</v>
      </c>
      <c r="O177" s="107">
        <f t="shared" si="32"/>
        <v>-8971</v>
      </c>
      <c r="P177" s="108">
        <f t="shared" si="33"/>
        <v>-6905</v>
      </c>
      <c r="Q177" s="108">
        <f t="shared" si="34"/>
        <v>0</v>
      </c>
    </row>
    <row r="178" spans="1:17">
      <c r="A178" s="12">
        <v>1418</v>
      </c>
      <c r="B178" s="13" t="s">
        <v>168</v>
      </c>
      <c r="C178" s="138">
        <f>VLOOKUP(A178,'Contribution Allocation_Report'!$A$9:$D$314,4,FALSE)</f>
        <v>1.0503461424446814E-3</v>
      </c>
      <c r="E178" s="144">
        <v>9.9160085627970017E-4</v>
      </c>
      <c r="F178" s="92"/>
      <c r="G178" s="101">
        <f t="shared" si="27"/>
        <v>160608</v>
      </c>
      <c r="H178" s="86">
        <f t="shared" si="28"/>
        <v>27835</v>
      </c>
      <c r="I178" s="86">
        <f t="shared" si="35"/>
        <v>132773</v>
      </c>
      <c r="J178" s="86"/>
      <c r="K178" s="87"/>
      <c r="L178" s="107">
        <f t="shared" si="29"/>
        <v>27835</v>
      </c>
      <c r="M178" s="107">
        <f t="shared" si="30"/>
        <v>27835</v>
      </c>
      <c r="N178" s="107">
        <f t="shared" si="31"/>
        <v>27835</v>
      </c>
      <c r="O178" s="107">
        <f t="shared" si="32"/>
        <v>27835</v>
      </c>
      <c r="P178" s="108">
        <f t="shared" si="33"/>
        <v>21433</v>
      </c>
      <c r="Q178" s="108">
        <f t="shared" si="34"/>
        <v>0</v>
      </c>
    </row>
    <row r="179" spans="1:17">
      <c r="A179" s="10">
        <v>12102</v>
      </c>
      <c r="B179" s="11" t="s">
        <v>169</v>
      </c>
      <c r="C179" s="137">
        <f>VLOOKUP(A179,'Contribution Allocation_Report'!$A$9:$D$314,4,FALSE)</f>
        <v>5.2842717469438064E-3</v>
      </c>
      <c r="E179" s="144">
        <v>4.9559471322402453E-3</v>
      </c>
      <c r="F179" s="92"/>
      <c r="G179" s="101">
        <f t="shared" si="27"/>
        <v>897631</v>
      </c>
      <c r="H179" s="86">
        <f t="shared" si="28"/>
        <v>155569</v>
      </c>
      <c r="I179" s="86">
        <f t="shared" si="35"/>
        <v>742062</v>
      </c>
      <c r="J179" s="86"/>
      <c r="K179" s="87"/>
      <c r="L179" s="107">
        <f t="shared" si="29"/>
        <v>155569</v>
      </c>
      <c r="M179" s="107">
        <f t="shared" si="30"/>
        <v>155569</v>
      </c>
      <c r="N179" s="107">
        <f t="shared" si="31"/>
        <v>155569</v>
      </c>
      <c r="O179" s="107">
        <f t="shared" si="32"/>
        <v>155569</v>
      </c>
      <c r="P179" s="108">
        <f t="shared" si="33"/>
        <v>119786</v>
      </c>
      <c r="Q179" s="108">
        <f t="shared" si="34"/>
        <v>0</v>
      </c>
    </row>
    <row r="180" spans="1:17">
      <c r="A180" s="12">
        <v>2414</v>
      </c>
      <c r="B180" s="13" t="s">
        <v>170</v>
      </c>
      <c r="C180" s="138">
        <f>VLOOKUP(A180,'Contribution Allocation_Report'!$A$9:$D$314,4,FALSE)</f>
        <v>5.1436661611634819E-4</v>
      </c>
      <c r="E180" s="144">
        <v>5.0092367174962838E-4</v>
      </c>
      <c r="F180" s="92"/>
      <c r="G180" s="101">
        <f t="shared" si="27"/>
        <v>36753</v>
      </c>
      <c r="H180" s="86">
        <f t="shared" si="28"/>
        <v>6370</v>
      </c>
      <c r="I180" s="86">
        <f t="shared" si="35"/>
        <v>30383</v>
      </c>
      <c r="J180" s="86"/>
      <c r="K180" s="87"/>
      <c r="L180" s="107">
        <f t="shared" si="29"/>
        <v>6370</v>
      </c>
      <c r="M180" s="107">
        <f t="shared" si="30"/>
        <v>6370</v>
      </c>
      <c r="N180" s="107">
        <f t="shared" si="31"/>
        <v>6370</v>
      </c>
      <c r="O180" s="107">
        <f t="shared" si="32"/>
        <v>6370</v>
      </c>
      <c r="P180" s="108">
        <f t="shared" si="33"/>
        <v>4903</v>
      </c>
      <c r="Q180" s="108">
        <f t="shared" si="34"/>
        <v>0</v>
      </c>
    </row>
    <row r="181" spans="1:17">
      <c r="A181" s="10">
        <v>6124</v>
      </c>
      <c r="B181" s="11" t="s">
        <v>171</v>
      </c>
      <c r="C181" s="137">
        <f>VLOOKUP(A181,'Contribution Allocation_Report'!$A$9:$D$314,4,FALSE)</f>
        <v>3.0481208606917124E-3</v>
      </c>
      <c r="E181" s="144">
        <v>2.9642341613314201E-3</v>
      </c>
      <c r="F181" s="92"/>
      <c r="G181" s="101">
        <f t="shared" si="27"/>
        <v>229344</v>
      </c>
      <c r="H181" s="86">
        <f t="shared" si="28"/>
        <v>39748</v>
      </c>
      <c r="I181" s="86">
        <f t="shared" si="35"/>
        <v>189596</v>
      </c>
      <c r="J181" s="86"/>
      <c r="K181" s="87"/>
      <c r="L181" s="107">
        <f t="shared" si="29"/>
        <v>39748</v>
      </c>
      <c r="M181" s="107">
        <f t="shared" si="30"/>
        <v>39748</v>
      </c>
      <c r="N181" s="107">
        <f t="shared" si="31"/>
        <v>39748</v>
      </c>
      <c r="O181" s="107">
        <f t="shared" si="32"/>
        <v>39748</v>
      </c>
      <c r="P181" s="108">
        <f t="shared" si="33"/>
        <v>30604</v>
      </c>
      <c r="Q181" s="108">
        <f t="shared" si="34"/>
        <v>0</v>
      </c>
    </row>
    <row r="182" spans="1:17">
      <c r="A182" s="12">
        <v>4097</v>
      </c>
      <c r="B182" s="13" t="s">
        <v>172</v>
      </c>
      <c r="C182" s="138">
        <f>VLOOKUP(A182,'Contribution Allocation_Report'!$A$9:$D$314,4,FALSE)</f>
        <v>2.8454491318700105E-3</v>
      </c>
      <c r="E182" s="144">
        <v>2.8547341530831944E-3</v>
      </c>
      <c r="F182" s="92"/>
      <c r="G182" s="101">
        <f t="shared" si="27"/>
        <v>-25385</v>
      </c>
      <c r="H182" s="86">
        <f t="shared" si="28"/>
        <v>-4399</v>
      </c>
      <c r="I182" s="86">
        <f t="shared" si="35"/>
        <v>-20986</v>
      </c>
      <c r="J182" s="86"/>
      <c r="K182" s="87"/>
      <c r="L182" s="107">
        <f t="shared" si="29"/>
        <v>-4399</v>
      </c>
      <c r="M182" s="107">
        <f t="shared" si="30"/>
        <v>-4399</v>
      </c>
      <c r="N182" s="107">
        <f t="shared" si="31"/>
        <v>-4399</v>
      </c>
      <c r="O182" s="107">
        <f t="shared" si="32"/>
        <v>-4399</v>
      </c>
      <c r="P182" s="108">
        <f t="shared" si="33"/>
        <v>-3390</v>
      </c>
      <c r="Q182" s="108">
        <f t="shared" si="34"/>
        <v>0</v>
      </c>
    </row>
    <row r="183" spans="1:17">
      <c r="A183" s="10">
        <v>1416</v>
      </c>
      <c r="B183" s="11" t="s">
        <v>173</v>
      </c>
      <c r="C183" s="137">
        <f>VLOOKUP(A183,'Contribution Allocation_Report'!$A$9:$D$314,4,FALSE)</f>
        <v>4.6438630038218425E-4</v>
      </c>
      <c r="E183" s="144">
        <v>4.3046238722219544E-4</v>
      </c>
      <c r="F183" s="92"/>
      <c r="G183" s="101">
        <f t="shared" si="27"/>
        <v>92747</v>
      </c>
      <c r="H183" s="86">
        <f t="shared" si="28"/>
        <v>16074</v>
      </c>
      <c r="I183" s="86">
        <f t="shared" si="35"/>
        <v>76673</v>
      </c>
      <c r="J183" s="86"/>
      <c r="K183" s="87"/>
      <c r="L183" s="107">
        <f t="shared" si="29"/>
        <v>16074</v>
      </c>
      <c r="M183" s="107">
        <f t="shared" si="30"/>
        <v>16074</v>
      </c>
      <c r="N183" s="107">
        <f t="shared" si="31"/>
        <v>16074</v>
      </c>
      <c r="O183" s="107">
        <f t="shared" si="32"/>
        <v>16074</v>
      </c>
      <c r="P183" s="108">
        <f t="shared" si="33"/>
        <v>12377</v>
      </c>
      <c r="Q183" s="108">
        <f t="shared" si="34"/>
        <v>0</v>
      </c>
    </row>
    <row r="184" spans="1:17">
      <c r="A184" s="12">
        <v>1094</v>
      </c>
      <c r="B184" s="13" t="s">
        <v>174</v>
      </c>
      <c r="C184" s="138">
        <f>VLOOKUP(A184,'Contribution Allocation_Report'!$A$9:$D$314,4,FALSE)</f>
        <v>1.9024301501675473E-3</v>
      </c>
      <c r="E184" s="144">
        <v>1.904056431966964E-3</v>
      </c>
      <c r="F184" s="92"/>
      <c r="G184" s="101">
        <f t="shared" si="27"/>
        <v>-4446</v>
      </c>
      <c r="H184" s="86">
        <f t="shared" si="28"/>
        <v>-771</v>
      </c>
      <c r="I184" s="86">
        <f t="shared" si="35"/>
        <v>-3675</v>
      </c>
      <c r="J184" s="86"/>
      <c r="K184" s="87"/>
      <c r="L184" s="107">
        <f t="shared" si="29"/>
        <v>-771</v>
      </c>
      <c r="M184" s="107">
        <f t="shared" si="30"/>
        <v>-771</v>
      </c>
      <c r="N184" s="107">
        <f t="shared" si="31"/>
        <v>-771</v>
      </c>
      <c r="O184" s="107">
        <f t="shared" si="32"/>
        <v>-771</v>
      </c>
      <c r="P184" s="108">
        <f t="shared" si="33"/>
        <v>-591</v>
      </c>
      <c r="Q184" s="108">
        <f t="shared" si="34"/>
        <v>0</v>
      </c>
    </row>
    <row r="185" spans="1:17">
      <c r="A185" s="10">
        <v>15104</v>
      </c>
      <c r="B185" s="11" t="s">
        <v>175</v>
      </c>
      <c r="C185" s="137">
        <f>VLOOKUP(A185,'Contribution Allocation_Report'!$A$9:$D$314,4,FALSE)</f>
        <v>1.9250606590179675E-3</v>
      </c>
      <c r="E185" s="144">
        <v>1.9812937459736898E-3</v>
      </c>
      <c r="F185" s="92"/>
      <c r="G185" s="101">
        <f t="shared" si="27"/>
        <v>-153740</v>
      </c>
      <c r="H185" s="86">
        <f t="shared" si="28"/>
        <v>-26645</v>
      </c>
      <c r="I185" s="86">
        <f t="shared" si="35"/>
        <v>-127095</v>
      </c>
      <c r="J185" s="86"/>
      <c r="K185" s="87"/>
      <c r="L185" s="107">
        <f t="shared" si="29"/>
        <v>-26645</v>
      </c>
      <c r="M185" s="107">
        <f t="shared" si="30"/>
        <v>-26645</v>
      </c>
      <c r="N185" s="107">
        <f t="shared" si="31"/>
        <v>-26645</v>
      </c>
      <c r="O185" s="107">
        <f t="shared" si="32"/>
        <v>-26645</v>
      </c>
      <c r="P185" s="108">
        <f t="shared" si="33"/>
        <v>-20515</v>
      </c>
      <c r="Q185" s="108">
        <f t="shared" si="34"/>
        <v>0</v>
      </c>
    </row>
    <row r="186" spans="1:17">
      <c r="A186" s="12">
        <v>2520</v>
      </c>
      <c r="B186" s="13" t="s">
        <v>176</v>
      </c>
      <c r="C186" s="138">
        <f>VLOOKUP(A186,'Contribution Allocation_Report'!$A$9:$D$314,4,FALSE)</f>
        <v>3.9272670930744159E-4</v>
      </c>
      <c r="E186" s="144">
        <v>3.5261263949659959E-4</v>
      </c>
      <c r="F186" s="92"/>
      <c r="G186" s="101">
        <f t="shared" si="27"/>
        <v>109671</v>
      </c>
      <c r="H186" s="86">
        <f t="shared" si="28"/>
        <v>19007</v>
      </c>
      <c r="I186" s="86">
        <f t="shared" si="35"/>
        <v>90664</v>
      </c>
      <c r="J186" s="86"/>
      <c r="K186" s="87"/>
      <c r="L186" s="107">
        <f t="shared" si="29"/>
        <v>19007</v>
      </c>
      <c r="M186" s="107">
        <f t="shared" si="30"/>
        <v>19007</v>
      </c>
      <c r="N186" s="107">
        <f t="shared" si="31"/>
        <v>19007</v>
      </c>
      <c r="O186" s="107">
        <f t="shared" si="32"/>
        <v>19007</v>
      </c>
      <c r="P186" s="108">
        <f t="shared" si="33"/>
        <v>14636</v>
      </c>
      <c r="Q186" s="108">
        <f t="shared" si="34"/>
        <v>0</v>
      </c>
    </row>
    <row r="187" spans="1:17">
      <c r="A187" s="10">
        <v>3450</v>
      </c>
      <c r="B187" s="11" t="s">
        <v>177</v>
      </c>
      <c r="C187" s="137">
        <f>VLOOKUP(A187,'Contribution Allocation_Report'!$A$9:$D$314,4,FALSE)</f>
        <v>7.0929574660212938E-4</v>
      </c>
      <c r="E187" s="144">
        <v>6.1716830261976927E-4</v>
      </c>
      <c r="F187" s="92"/>
      <c r="G187" s="101">
        <f t="shared" si="27"/>
        <v>251874</v>
      </c>
      <c r="H187" s="86">
        <f t="shared" si="28"/>
        <v>43652</v>
      </c>
      <c r="I187" s="86">
        <f t="shared" si="35"/>
        <v>208222</v>
      </c>
      <c r="J187" s="86"/>
      <c r="K187" s="87"/>
      <c r="L187" s="107">
        <f t="shared" si="29"/>
        <v>43652</v>
      </c>
      <c r="M187" s="107">
        <f t="shared" si="30"/>
        <v>43652</v>
      </c>
      <c r="N187" s="107">
        <f t="shared" si="31"/>
        <v>43652</v>
      </c>
      <c r="O187" s="107">
        <f t="shared" si="32"/>
        <v>43652</v>
      </c>
      <c r="P187" s="108">
        <f t="shared" si="33"/>
        <v>33614</v>
      </c>
      <c r="Q187" s="108">
        <f t="shared" si="34"/>
        <v>0</v>
      </c>
    </row>
    <row r="188" spans="1:17">
      <c r="A188" s="12">
        <v>4310</v>
      </c>
      <c r="B188" s="13" t="s">
        <v>178</v>
      </c>
      <c r="C188" s="138">
        <f>VLOOKUP(A188,'Contribution Allocation_Report'!$A$9:$D$314,4,FALSE)</f>
        <v>3.3063844455653271E-4</v>
      </c>
      <c r="E188" s="144">
        <v>2.94407881060912E-4</v>
      </c>
      <c r="F188" s="92"/>
      <c r="G188" s="101">
        <f t="shared" si="27"/>
        <v>99053</v>
      </c>
      <c r="H188" s="86">
        <f t="shared" si="28"/>
        <v>17167</v>
      </c>
      <c r="I188" s="86">
        <f t="shared" si="35"/>
        <v>81886</v>
      </c>
      <c r="J188" s="86"/>
      <c r="K188" s="87"/>
      <c r="L188" s="107">
        <f t="shared" si="29"/>
        <v>17167</v>
      </c>
      <c r="M188" s="107">
        <f t="shared" si="30"/>
        <v>17167</v>
      </c>
      <c r="N188" s="107">
        <f t="shared" si="31"/>
        <v>17167</v>
      </c>
      <c r="O188" s="107">
        <f t="shared" si="32"/>
        <v>17167</v>
      </c>
      <c r="P188" s="108">
        <f t="shared" si="33"/>
        <v>13218</v>
      </c>
      <c r="Q188" s="108">
        <f t="shared" si="34"/>
        <v>0</v>
      </c>
    </row>
    <row r="189" spans="1:17">
      <c r="A189" s="10">
        <v>4215</v>
      </c>
      <c r="B189" s="11" t="s">
        <v>182</v>
      </c>
      <c r="C189" s="137">
        <f>VLOOKUP(A189,'Contribution Allocation_Report'!$A$9:$D$314,4,FALSE)</f>
        <v>2.5905259251356074E-4</v>
      </c>
      <c r="E189" s="144">
        <v>2.8036116409862349E-4</v>
      </c>
      <c r="F189" s="92"/>
      <c r="G189" s="101">
        <f t="shared" si="27"/>
        <v>-58257</v>
      </c>
      <c r="H189" s="86">
        <f t="shared" si="28"/>
        <v>-10097</v>
      </c>
      <c r="I189" s="86">
        <f t="shared" si="35"/>
        <v>-48160</v>
      </c>
      <c r="J189" s="86"/>
      <c r="K189" s="87"/>
      <c r="L189" s="107">
        <f t="shared" si="29"/>
        <v>-10097</v>
      </c>
      <c r="M189" s="107">
        <f t="shared" si="30"/>
        <v>-10097</v>
      </c>
      <c r="N189" s="107">
        <f t="shared" si="31"/>
        <v>-10097</v>
      </c>
      <c r="O189" s="107">
        <f t="shared" si="32"/>
        <v>-10097</v>
      </c>
      <c r="P189" s="108">
        <f t="shared" si="33"/>
        <v>-7772</v>
      </c>
      <c r="Q189" s="108">
        <f t="shared" si="34"/>
        <v>0</v>
      </c>
    </row>
    <row r="190" spans="1:17">
      <c r="A190" s="12">
        <v>2328</v>
      </c>
      <c r="B190" s="13" t="s">
        <v>179</v>
      </c>
      <c r="C190" s="138">
        <f>VLOOKUP(A190,'Contribution Allocation_Report'!$A$9:$D$314,4,FALSE)</f>
        <v>3.0972605514636905E-4</v>
      </c>
      <c r="E190" s="144">
        <v>4.3180503037510288E-4</v>
      </c>
      <c r="F190" s="92"/>
      <c r="G190" s="101">
        <f t="shared" si="27"/>
        <v>-333761</v>
      </c>
      <c r="H190" s="86">
        <f t="shared" si="28"/>
        <v>-57844</v>
      </c>
      <c r="I190" s="86">
        <f t="shared" si="35"/>
        <v>-275917</v>
      </c>
      <c r="J190" s="86"/>
      <c r="K190" s="87"/>
      <c r="L190" s="107">
        <f t="shared" si="29"/>
        <v>-57844</v>
      </c>
      <c r="M190" s="107">
        <f t="shared" si="30"/>
        <v>-57844</v>
      </c>
      <c r="N190" s="107">
        <f t="shared" si="31"/>
        <v>-57844</v>
      </c>
      <c r="O190" s="107">
        <f t="shared" si="32"/>
        <v>-57844</v>
      </c>
      <c r="P190" s="108">
        <f t="shared" si="33"/>
        <v>-44541</v>
      </c>
      <c r="Q190" s="108">
        <f t="shared" si="34"/>
        <v>0</v>
      </c>
    </row>
    <row r="191" spans="1:17">
      <c r="A191" s="10">
        <v>12151</v>
      </c>
      <c r="B191" s="11" t="s">
        <v>180</v>
      </c>
      <c r="C191" s="137">
        <f>VLOOKUP(A191,'Contribution Allocation_Report'!$A$9:$D$314,4,FALSE)</f>
        <v>1.5556723532659448E-4</v>
      </c>
      <c r="E191" s="144">
        <v>2.021894960849036E-4</v>
      </c>
      <c r="F191" s="92"/>
      <c r="G191" s="101">
        <f t="shared" si="27"/>
        <v>-127464</v>
      </c>
      <c r="H191" s="86">
        <f t="shared" si="28"/>
        <v>-22091</v>
      </c>
      <c r="I191" s="86">
        <f t="shared" si="35"/>
        <v>-105373</v>
      </c>
      <c r="J191" s="86"/>
      <c r="K191" s="87"/>
      <c r="L191" s="107">
        <f t="shared" si="29"/>
        <v>-22091</v>
      </c>
      <c r="M191" s="107">
        <f t="shared" si="30"/>
        <v>-22091</v>
      </c>
      <c r="N191" s="107">
        <f t="shared" si="31"/>
        <v>-22091</v>
      </c>
      <c r="O191" s="107">
        <f t="shared" si="32"/>
        <v>-22091</v>
      </c>
      <c r="P191" s="108">
        <f t="shared" si="33"/>
        <v>-17009</v>
      </c>
      <c r="Q191" s="108">
        <f t="shared" si="34"/>
        <v>0</v>
      </c>
    </row>
    <row r="192" spans="1:17">
      <c r="A192" s="12">
        <v>17105</v>
      </c>
      <c r="B192" s="13" t="s">
        <v>476</v>
      </c>
      <c r="C192" s="138">
        <f>VLOOKUP(A192,'Contribution Allocation_Report'!$A$9:$D$314,4,FALSE)</f>
        <v>2.1232932981270752E-3</v>
      </c>
      <c r="E192" s="144">
        <v>2.0420346081426472E-3</v>
      </c>
      <c r="F192" s="92"/>
      <c r="G192" s="101">
        <f t="shared" si="27"/>
        <v>222159</v>
      </c>
      <c r="H192" s="86">
        <f t="shared" si="28"/>
        <v>38502</v>
      </c>
      <c r="I192" s="86">
        <f t="shared" ref="I192" si="36">G192-H192</f>
        <v>183657</v>
      </c>
      <c r="J192" s="86"/>
      <c r="K192" s="87"/>
      <c r="L192" s="107">
        <f t="shared" si="29"/>
        <v>38502</v>
      </c>
      <c r="M192" s="107">
        <f t="shared" si="30"/>
        <v>38502</v>
      </c>
      <c r="N192" s="107">
        <f t="shared" si="31"/>
        <v>38502</v>
      </c>
      <c r="O192" s="107">
        <f t="shared" si="32"/>
        <v>38502</v>
      </c>
      <c r="P192" s="108">
        <f t="shared" si="33"/>
        <v>29649</v>
      </c>
      <c r="Q192" s="108">
        <f t="shared" ref="Q192" si="37">+I192-SUM(L192:P192)</f>
        <v>0</v>
      </c>
    </row>
    <row r="193" spans="1:17">
      <c r="A193" s="12" t="s">
        <v>785</v>
      </c>
      <c r="B193" s="13" t="s">
        <v>784</v>
      </c>
      <c r="C193" s="138">
        <f>VLOOKUP(A193,'Contribution Allocation_Report'!$A$9:$D$314,4,FALSE)</f>
        <v>1.6662071618901876E-4</v>
      </c>
      <c r="E193" s="144">
        <v>1.7520315388289926E-4</v>
      </c>
      <c r="F193" s="92"/>
      <c r="G193" s="101">
        <f t="shared" si="27"/>
        <v>-23464</v>
      </c>
      <c r="H193" s="86">
        <f t="shared" si="28"/>
        <v>-4067</v>
      </c>
      <c r="I193" s="86">
        <f t="shared" ref="I193" si="38">G193-H193</f>
        <v>-19397</v>
      </c>
      <c r="J193" s="86"/>
      <c r="K193" s="87"/>
      <c r="L193" s="107">
        <f t="shared" ref="L193" si="39">+H193</f>
        <v>-4067</v>
      </c>
      <c r="M193" s="107">
        <f t="shared" ref="M193" si="40">+L193</f>
        <v>-4067</v>
      </c>
      <c r="N193" s="107">
        <f t="shared" ref="N193" si="41">+M193</f>
        <v>-4067</v>
      </c>
      <c r="O193" s="107">
        <f t="shared" ref="O193" si="42">+N193</f>
        <v>-4067</v>
      </c>
      <c r="P193" s="108">
        <f t="shared" ref="P193" si="43">I193-SUM(L193:O193)</f>
        <v>-3129</v>
      </c>
      <c r="Q193" s="108">
        <f t="shared" ref="Q193" si="44">+I193-SUM(L193:P193)</f>
        <v>0</v>
      </c>
    </row>
    <row r="194" spans="1:17">
      <c r="A194" s="10">
        <v>2870</v>
      </c>
      <c r="B194" s="11" t="s">
        <v>183</v>
      </c>
      <c r="C194" s="137">
        <f>VLOOKUP(A194,'Contribution Allocation_Report'!$A$9:$D$314,4,FALSE)</f>
        <v>3.0606859917054353E-4</v>
      </c>
      <c r="E194" s="144">
        <v>3.2635650672863261E-4</v>
      </c>
      <c r="F194" s="92"/>
      <c r="G194" s="101">
        <f t="shared" si="27"/>
        <v>-55467</v>
      </c>
      <c r="H194" s="86">
        <f t="shared" si="28"/>
        <v>-9613</v>
      </c>
      <c r="I194" s="86">
        <f t="shared" si="35"/>
        <v>-45854</v>
      </c>
      <c r="J194" s="86"/>
      <c r="K194" s="87"/>
      <c r="L194" s="107">
        <f t="shared" si="29"/>
        <v>-9613</v>
      </c>
      <c r="M194" s="107">
        <f t="shared" si="30"/>
        <v>-9613</v>
      </c>
      <c r="N194" s="107">
        <f t="shared" si="31"/>
        <v>-9613</v>
      </c>
      <c r="O194" s="107">
        <f t="shared" si="32"/>
        <v>-9613</v>
      </c>
      <c r="P194" s="108">
        <f t="shared" si="33"/>
        <v>-7402</v>
      </c>
      <c r="Q194" s="108">
        <f t="shared" si="34"/>
        <v>0</v>
      </c>
    </row>
    <row r="195" spans="1:17">
      <c r="A195" s="12">
        <v>29150</v>
      </c>
      <c r="B195" s="13" t="s">
        <v>184</v>
      </c>
      <c r="C195" s="138">
        <f>VLOOKUP(A195,'Contribution Allocation_Report'!$A$9:$D$314,4,FALSE)</f>
        <v>2.1970544516072818E-4</v>
      </c>
      <c r="E195" s="144">
        <v>6.3598886190350631E-5</v>
      </c>
      <c r="F195" s="92"/>
      <c r="G195" s="101">
        <f t="shared" si="27"/>
        <v>426791</v>
      </c>
      <c r="H195" s="86">
        <f t="shared" si="28"/>
        <v>73967</v>
      </c>
      <c r="I195" s="86">
        <f t="shared" si="35"/>
        <v>352824</v>
      </c>
      <c r="J195" s="86"/>
      <c r="K195" s="87"/>
      <c r="L195" s="107">
        <f t="shared" si="29"/>
        <v>73967</v>
      </c>
      <c r="M195" s="107">
        <f t="shared" si="30"/>
        <v>73967</v>
      </c>
      <c r="N195" s="107">
        <f t="shared" si="31"/>
        <v>73967</v>
      </c>
      <c r="O195" s="107">
        <f t="shared" si="32"/>
        <v>73967</v>
      </c>
      <c r="P195" s="108">
        <f t="shared" si="33"/>
        <v>56956</v>
      </c>
      <c r="Q195" s="108">
        <f t="shared" si="34"/>
        <v>0</v>
      </c>
    </row>
    <row r="196" spans="1:17">
      <c r="A196" s="10">
        <v>3433</v>
      </c>
      <c r="B196" s="11" t="s">
        <v>477</v>
      </c>
      <c r="C196" s="137">
        <f>VLOOKUP(A196,'Contribution Allocation_Report'!$A$9:$D$314,4,FALSE)</f>
        <v>1.6153419777747756E-3</v>
      </c>
      <c r="E196" s="144">
        <v>1.2917090819547104E-3</v>
      </c>
      <c r="F196" s="92"/>
      <c r="G196" s="101">
        <f t="shared" si="27"/>
        <v>884804</v>
      </c>
      <c r="H196" s="86">
        <f t="shared" si="28"/>
        <v>153346</v>
      </c>
      <c r="I196" s="86">
        <f t="shared" si="35"/>
        <v>731458</v>
      </c>
      <c r="J196" s="86"/>
      <c r="K196" s="87"/>
      <c r="L196" s="107">
        <f t="shared" si="29"/>
        <v>153346</v>
      </c>
      <c r="M196" s="107">
        <f t="shared" si="30"/>
        <v>153346</v>
      </c>
      <c r="N196" s="107">
        <f t="shared" si="31"/>
        <v>153346</v>
      </c>
      <c r="O196" s="107">
        <f t="shared" si="32"/>
        <v>153346</v>
      </c>
      <c r="P196" s="108">
        <f t="shared" si="33"/>
        <v>118074</v>
      </c>
      <c r="Q196" s="108">
        <f t="shared" si="34"/>
        <v>0</v>
      </c>
    </row>
    <row r="197" spans="1:17">
      <c r="A197" s="12">
        <v>12039</v>
      </c>
      <c r="B197" s="13" t="s">
        <v>187</v>
      </c>
      <c r="C197" s="138">
        <f>VLOOKUP(A197,'Contribution Allocation_Report'!$A$9:$D$314,4,FALSE)</f>
        <v>6.8492499660192106E-4</v>
      </c>
      <c r="E197" s="144">
        <v>8.0286919858124856E-4</v>
      </c>
      <c r="F197" s="92"/>
      <c r="G197" s="101">
        <f t="shared" ref="G197:G260" si="45">ROUND((E197-C197)*$G$318,0)</f>
        <v>-322456</v>
      </c>
      <c r="H197" s="86">
        <f t="shared" si="28"/>
        <v>-55885</v>
      </c>
      <c r="I197" s="86">
        <f t="shared" si="35"/>
        <v>-266571</v>
      </c>
      <c r="J197" s="86"/>
      <c r="K197" s="87"/>
      <c r="L197" s="107">
        <f t="shared" si="29"/>
        <v>-55885</v>
      </c>
      <c r="M197" s="107">
        <f t="shared" si="30"/>
        <v>-55885</v>
      </c>
      <c r="N197" s="107">
        <f t="shared" si="31"/>
        <v>-55885</v>
      </c>
      <c r="O197" s="107">
        <f t="shared" si="32"/>
        <v>-55885</v>
      </c>
      <c r="P197" s="108">
        <f t="shared" si="33"/>
        <v>-43031</v>
      </c>
      <c r="Q197" s="108">
        <f t="shared" si="34"/>
        <v>0</v>
      </c>
    </row>
    <row r="198" spans="1:17">
      <c r="A198" s="10">
        <v>12150</v>
      </c>
      <c r="B198" s="11" t="s">
        <v>188</v>
      </c>
      <c r="C198" s="137">
        <f>VLOOKUP(A198,'Contribution Allocation_Report'!$A$9:$D$314,4,FALSE)</f>
        <v>1.3685226906319699E-4</v>
      </c>
      <c r="E198" s="144">
        <v>1.4533523251646793E-4</v>
      </c>
      <c r="F198" s="92"/>
      <c r="G198" s="101">
        <f t="shared" si="45"/>
        <v>-23192</v>
      </c>
      <c r="H198" s="86">
        <f t="shared" ref="H198:H261" si="46">ROUND(G198/5.77,0)</f>
        <v>-4019</v>
      </c>
      <c r="I198" s="86">
        <f t="shared" si="35"/>
        <v>-19173</v>
      </c>
      <c r="J198" s="86"/>
      <c r="K198" s="87"/>
      <c r="L198" s="107">
        <f t="shared" si="29"/>
        <v>-4019</v>
      </c>
      <c r="M198" s="107">
        <f t="shared" si="30"/>
        <v>-4019</v>
      </c>
      <c r="N198" s="107">
        <f t="shared" si="31"/>
        <v>-4019</v>
      </c>
      <c r="O198" s="107">
        <f t="shared" si="32"/>
        <v>-4019</v>
      </c>
      <c r="P198" s="108">
        <f t="shared" si="33"/>
        <v>-3097</v>
      </c>
      <c r="Q198" s="108">
        <f t="shared" si="34"/>
        <v>0</v>
      </c>
    </row>
    <row r="199" spans="1:17">
      <c r="A199" s="12">
        <v>20060</v>
      </c>
      <c r="B199" s="13" t="s">
        <v>189</v>
      </c>
      <c r="C199" s="138">
        <f>VLOOKUP(A199,'Contribution Allocation_Report'!$A$9:$D$314,4,FALSE)</f>
        <v>5.6126464032249794E-4</v>
      </c>
      <c r="E199" s="144">
        <v>5.9705221046919171E-4</v>
      </c>
      <c r="F199" s="92"/>
      <c r="G199" s="101">
        <f t="shared" si="45"/>
        <v>-97842</v>
      </c>
      <c r="H199" s="86">
        <f t="shared" si="46"/>
        <v>-16957</v>
      </c>
      <c r="I199" s="86">
        <f t="shared" si="35"/>
        <v>-80885</v>
      </c>
      <c r="J199" s="86"/>
      <c r="K199" s="87"/>
      <c r="L199" s="107">
        <f t="shared" si="29"/>
        <v>-16957</v>
      </c>
      <c r="M199" s="107">
        <f t="shared" si="30"/>
        <v>-16957</v>
      </c>
      <c r="N199" s="107">
        <f t="shared" si="31"/>
        <v>-16957</v>
      </c>
      <c r="O199" s="107">
        <f t="shared" si="32"/>
        <v>-16957</v>
      </c>
      <c r="P199" s="108">
        <f t="shared" si="33"/>
        <v>-13057</v>
      </c>
      <c r="Q199" s="108">
        <f t="shared" si="34"/>
        <v>0</v>
      </c>
    </row>
    <row r="200" spans="1:17">
      <c r="A200" s="10">
        <v>1001</v>
      </c>
      <c r="B200" s="11" t="s">
        <v>190</v>
      </c>
      <c r="C200" s="137">
        <f>VLOOKUP(A200,'Contribution Allocation_Report'!$A$9:$D$314,4,FALSE)</f>
        <v>2.1949676370081718E-3</v>
      </c>
      <c r="E200" s="144">
        <v>2.2803498419265386E-3</v>
      </c>
      <c r="F200" s="92"/>
      <c r="G200" s="101">
        <f t="shared" si="45"/>
        <v>-233433</v>
      </c>
      <c r="H200" s="86">
        <f t="shared" si="46"/>
        <v>-40456</v>
      </c>
      <c r="I200" s="86">
        <f t="shared" si="35"/>
        <v>-192977</v>
      </c>
      <c r="J200" s="86"/>
      <c r="K200" s="87"/>
      <c r="L200" s="107">
        <f t="shared" ref="L200:L262" si="47">+H200</f>
        <v>-40456</v>
      </c>
      <c r="M200" s="107">
        <f t="shared" ref="M200:M262" si="48">+L200</f>
        <v>-40456</v>
      </c>
      <c r="N200" s="107">
        <f t="shared" ref="N200:N262" si="49">+M200</f>
        <v>-40456</v>
      </c>
      <c r="O200" s="107">
        <f t="shared" ref="O200:O262" si="50">+N200</f>
        <v>-40456</v>
      </c>
      <c r="P200" s="108">
        <f t="shared" ref="P200:P262" si="51">I200-SUM(L200:O200)</f>
        <v>-31153</v>
      </c>
      <c r="Q200" s="108">
        <f t="shared" ref="Q200:Q264" si="52">+I200-SUM(L200:P200)</f>
        <v>0</v>
      </c>
    </row>
    <row r="201" spans="1:17">
      <c r="A201" s="12">
        <v>11035</v>
      </c>
      <c r="B201" s="13" t="s">
        <v>191</v>
      </c>
      <c r="C201" s="138">
        <f>VLOOKUP(A201,'Contribution Allocation_Report'!$A$9:$D$314,4,FALSE)</f>
        <v>3.7692517218930353E-3</v>
      </c>
      <c r="E201" s="144">
        <v>4.0441825074152967E-3</v>
      </c>
      <c r="F201" s="92"/>
      <c r="G201" s="101">
        <f t="shared" si="45"/>
        <v>-751654</v>
      </c>
      <c r="H201" s="86">
        <f t="shared" si="46"/>
        <v>-130269</v>
      </c>
      <c r="I201" s="86">
        <f t="shared" ref="I201:I265" si="53">G201-H201</f>
        <v>-621385</v>
      </c>
      <c r="J201" s="86"/>
      <c r="K201" s="87"/>
      <c r="L201" s="107">
        <f t="shared" si="47"/>
        <v>-130269</v>
      </c>
      <c r="M201" s="107">
        <f t="shared" si="48"/>
        <v>-130269</v>
      </c>
      <c r="N201" s="107">
        <f t="shared" si="49"/>
        <v>-130269</v>
      </c>
      <c r="O201" s="107">
        <f t="shared" si="50"/>
        <v>-130269</v>
      </c>
      <c r="P201" s="108">
        <f t="shared" si="51"/>
        <v>-100309</v>
      </c>
      <c r="Q201" s="108">
        <f t="shared" si="52"/>
        <v>0</v>
      </c>
    </row>
    <row r="202" spans="1:17">
      <c r="A202" s="10">
        <v>2320</v>
      </c>
      <c r="B202" s="11" t="s">
        <v>192</v>
      </c>
      <c r="C202" s="137">
        <f>VLOOKUP(A202,'Contribution Allocation_Report'!$A$9:$D$314,4,FALSE)</f>
        <v>4.429503638464488E-4</v>
      </c>
      <c r="E202" s="144">
        <v>4.7537419327266527E-4</v>
      </c>
      <c r="F202" s="92"/>
      <c r="G202" s="101">
        <f t="shared" si="45"/>
        <v>-88646</v>
      </c>
      <c r="H202" s="86">
        <f t="shared" si="46"/>
        <v>-15363</v>
      </c>
      <c r="I202" s="86">
        <f t="shared" si="53"/>
        <v>-73283</v>
      </c>
      <c r="J202" s="86"/>
      <c r="K202" s="87"/>
      <c r="L202" s="107">
        <f t="shared" si="47"/>
        <v>-15363</v>
      </c>
      <c r="M202" s="107">
        <f t="shared" si="48"/>
        <v>-15363</v>
      </c>
      <c r="N202" s="107">
        <f t="shared" si="49"/>
        <v>-15363</v>
      </c>
      <c r="O202" s="107">
        <f t="shared" si="50"/>
        <v>-15363</v>
      </c>
      <c r="P202" s="108">
        <f t="shared" si="51"/>
        <v>-11831</v>
      </c>
      <c r="Q202" s="108">
        <f t="shared" si="52"/>
        <v>0</v>
      </c>
    </row>
    <row r="203" spans="1:17">
      <c r="A203" s="12">
        <v>28084</v>
      </c>
      <c r="B203" s="13" t="s">
        <v>193</v>
      </c>
      <c r="C203" s="138">
        <f>VLOOKUP(A203,'Contribution Allocation_Report'!$A$9:$D$314,4,FALSE)</f>
        <v>3.9502736709868668E-4</v>
      </c>
      <c r="E203" s="144">
        <v>3.9964440842008112E-4</v>
      </c>
      <c r="F203" s="92"/>
      <c r="G203" s="101">
        <f t="shared" si="45"/>
        <v>-12623</v>
      </c>
      <c r="H203" s="86">
        <f t="shared" si="46"/>
        <v>-2188</v>
      </c>
      <c r="I203" s="86">
        <f t="shared" si="53"/>
        <v>-10435</v>
      </c>
      <c r="J203" s="86"/>
      <c r="K203" s="87"/>
      <c r="L203" s="107">
        <f t="shared" si="47"/>
        <v>-2188</v>
      </c>
      <c r="M203" s="107">
        <f t="shared" si="48"/>
        <v>-2188</v>
      </c>
      <c r="N203" s="107">
        <f t="shared" si="49"/>
        <v>-2188</v>
      </c>
      <c r="O203" s="107">
        <f t="shared" si="50"/>
        <v>-2188</v>
      </c>
      <c r="P203" s="108">
        <f t="shared" si="51"/>
        <v>-1683</v>
      </c>
      <c r="Q203" s="108">
        <f t="shared" si="52"/>
        <v>0</v>
      </c>
    </row>
    <row r="204" spans="1:17">
      <c r="A204" s="10">
        <v>20125</v>
      </c>
      <c r="B204" s="11" t="s">
        <v>194</v>
      </c>
      <c r="C204" s="137">
        <f>VLOOKUP(A204,'Contribution Allocation_Report'!$A$9:$D$314,4,FALSE)</f>
        <v>5.4900921324221169E-4</v>
      </c>
      <c r="E204" s="144">
        <v>6.0623086453789779E-4</v>
      </c>
      <c r="F204" s="92"/>
      <c r="G204" s="101">
        <f t="shared" si="45"/>
        <v>-156443</v>
      </c>
      <c r="H204" s="86">
        <f t="shared" si="46"/>
        <v>-27113</v>
      </c>
      <c r="I204" s="86">
        <f t="shared" si="53"/>
        <v>-129330</v>
      </c>
      <c r="J204" s="86"/>
      <c r="K204" s="87"/>
      <c r="L204" s="107">
        <f t="shared" si="47"/>
        <v>-27113</v>
      </c>
      <c r="M204" s="107">
        <f t="shared" si="48"/>
        <v>-27113</v>
      </c>
      <c r="N204" s="107">
        <f t="shared" si="49"/>
        <v>-27113</v>
      </c>
      <c r="O204" s="107">
        <f t="shared" si="50"/>
        <v>-27113</v>
      </c>
      <c r="P204" s="108">
        <f t="shared" si="51"/>
        <v>-20878</v>
      </c>
      <c r="Q204" s="108">
        <f t="shared" si="52"/>
        <v>0</v>
      </c>
    </row>
    <row r="205" spans="1:17">
      <c r="A205" s="12">
        <v>7445</v>
      </c>
      <c r="B205" s="43" t="s">
        <v>401</v>
      </c>
      <c r="C205" s="140">
        <f>VLOOKUP(A205,'Contribution Allocation_Report'!$A$9:$D$314,4,FALSE)</f>
        <v>2.1569404183240343E-4</v>
      </c>
      <c r="E205" s="144">
        <v>2.3971283893721047E-4</v>
      </c>
      <c r="F205" s="92"/>
      <c r="G205" s="101">
        <f t="shared" si="45"/>
        <v>-65667</v>
      </c>
      <c r="H205" s="86">
        <f t="shared" si="46"/>
        <v>-11381</v>
      </c>
      <c r="I205" s="86">
        <f t="shared" si="53"/>
        <v>-54286</v>
      </c>
      <c r="J205" s="86"/>
      <c r="K205" s="87"/>
      <c r="L205" s="107">
        <f t="shared" si="47"/>
        <v>-11381</v>
      </c>
      <c r="M205" s="107">
        <f t="shared" si="48"/>
        <v>-11381</v>
      </c>
      <c r="N205" s="107">
        <f t="shared" si="49"/>
        <v>-11381</v>
      </c>
      <c r="O205" s="107">
        <f t="shared" si="50"/>
        <v>-11381</v>
      </c>
      <c r="P205" s="108">
        <f t="shared" si="51"/>
        <v>-8762</v>
      </c>
      <c r="Q205" s="108">
        <f>+I205-SUM(L205:P205)</f>
        <v>0</v>
      </c>
    </row>
    <row r="206" spans="1:17">
      <c r="A206" s="10">
        <v>9029</v>
      </c>
      <c r="B206" s="11" t="s">
        <v>196</v>
      </c>
      <c r="C206" s="137">
        <f>VLOOKUP(A206,'Contribution Allocation_Report'!$A$9:$D$314,4,FALSE)</f>
        <v>1.1451524155922392E-3</v>
      </c>
      <c r="E206" s="144">
        <v>1.1856010143033032E-3</v>
      </c>
      <c r="F206" s="92"/>
      <c r="G206" s="101">
        <f t="shared" si="45"/>
        <v>-110585</v>
      </c>
      <c r="H206" s="86">
        <f t="shared" si="46"/>
        <v>-19166</v>
      </c>
      <c r="I206" s="86">
        <f t="shared" si="53"/>
        <v>-91419</v>
      </c>
      <c r="J206" s="86"/>
      <c r="K206" s="87"/>
      <c r="L206" s="107">
        <f t="shared" si="47"/>
        <v>-19166</v>
      </c>
      <c r="M206" s="107">
        <f t="shared" si="48"/>
        <v>-19166</v>
      </c>
      <c r="N206" s="107">
        <f t="shared" si="49"/>
        <v>-19166</v>
      </c>
      <c r="O206" s="107">
        <f t="shared" si="50"/>
        <v>-19166</v>
      </c>
      <c r="P206" s="108">
        <f t="shared" si="51"/>
        <v>-14755</v>
      </c>
      <c r="Q206" s="108">
        <f t="shared" si="52"/>
        <v>0</v>
      </c>
    </row>
    <row r="207" spans="1:17">
      <c r="A207" s="183">
        <v>2580</v>
      </c>
      <c r="B207" s="184" t="s">
        <v>197</v>
      </c>
      <c r="C207" s="140">
        <f>VLOOKUP(A207,'Contribution Allocation_Report'!$A$9:$D$314,4,FALSE)</f>
        <v>1.4486032791349239E-4</v>
      </c>
      <c r="E207" s="144">
        <v>1.4261068763893068E-4</v>
      </c>
      <c r="F207" s="92"/>
      <c r="G207" s="101">
        <f t="shared" si="45"/>
        <v>6150</v>
      </c>
      <c r="H207" s="86">
        <f t="shared" si="46"/>
        <v>1066</v>
      </c>
      <c r="I207" s="86">
        <f t="shared" si="53"/>
        <v>5084</v>
      </c>
      <c r="J207" s="86"/>
      <c r="K207" s="87"/>
      <c r="L207" s="107">
        <f t="shared" si="47"/>
        <v>1066</v>
      </c>
      <c r="M207" s="107">
        <f t="shared" si="48"/>
        <v>1066</v>
      </c>
      <c r="N207" s="107">
        <f t="shared" si="49"/>
        <v>1066</v>
      </c>
      <c r="O207" s="107">
        <f t="shared" si="50"/>
        <v>1066</v>
      </c>
      <c r="P207" s="108">
        <f t="shared" si="51"/>
        <v>820</v>
      </c>
      <c r="Q207" s="108">
        <f t="shared" si="52"/>
        <v>0</v>
      </c>
    </row>
    <row r="208" spans="1:17">
      <c r="A208" s="10">
        <v>20312</v>
      </c>
      <c r="B208" s="11" t="s">
        <v>198</v>
      </c>
      <c r="C208" s="137">
        <f>VLOOKUP(A208,'Contribution Allocation_Report'!$A$9:$D$314,4,FALSE)</f>
        <v>1.1618321845787661E-4</v>
      </c>
      <c r="E208" s="144">
        <v>1.1639381344268614E-4</v>
      </c>
      <c r="F208" s="92"/>
      <c r="G208" s="101">
        <f t="shared" si="45"/>
        <v>-576</v>
      </c>
      <c r="H208" s="86">
        <f t="shared" si="46"/>
        <v>-100</v>
      </c>
      <c r="I208" s="86">
        <f t="shared" si="53"/>
        <v>-476</v>
      </c>
      <c r="J208" s="86"/>
      <c r="K208" s="87"/>
      <c r="L208" s="107">
        <f t="shared" si="47"/>
        <v>-100</v>
      </c>
      <c r="M208" s="107">
        <f t="shared" si="48"/>
        <v>-100</v>
      </c>
      <c r="N208" s="107">
        <f t="shared" si="49"/>
        <v>-100</v>
      </c>
      <c r="O208" s="107">
        <f t="shared" si="50"/>
        <v>-100</v>
      </c>
      <c r="P208" s="108">
        <f t="shared" si="51"/>
        <v>-76</v>
      </c>
      <c r="Q208" s="108">
        <f t="shared" si="52"/>
        <v>0</v>
      </c>
    </row>
    <row r="209" spans="1:17">
      <c r="A209" s="12">
        <v>26150</v>
      </c>
      <c r="B209" s="13" t="s">
        <v>199</v>
      </c>
      <c r="C209" s="138">
        <f>VLOOKUP(A209,'Contribution Allocation_Report'!$A$9:$D$314,4,FALSE)</f>
        <v>9.5697040651347481E-4</v>
      </c>
      <c r="E209" s="144">
        <v>8.6267570674321162E-4</v>
      </c>
      <c r="F209" s="92"/>
      <c r="G209" s="101">
        <f t="shared" si="45"/>
        <v>257799</v>
      </c>
      <c r="H209" s="86">
        <f t="shared" si="46"/>
        <v>44679</v>
      </c>
      <c r="I209" s="86">
        <f t="shared" si="53"/>
        <v>213120</v>
      </c>
      <c r="J209" s="86"/>
      <c r="K209" s="87"/>
      <c r="L209" s="107">
        <f t="shared" si="47"/>
        <v>44679</v>
      </c>
      <c r="M209" s="107">
        <f t="shared" si="48"/>
        <v>44679</v>
      </c>
      <c r="N209" s="107">
        <f t="shared" si="49"/>
        <v>44679</v>
      </c>
      <c r="O209" s="107">
        <f t="shared" si="50"/>
        <v>44679</v>
      </c>
      <c r="P209" s="108">
        <f t="shared" si="51"/>
        <v>34404</v>
      </c>
      <c r="Q209" s="108">
        <f t="shared" si="52"/>
        <v>0</v>
      </c>
    </row>
    <row r="210" spans="1:17">
      <c r="A210" s="10">
        <v>5016</v>
      </c>
      <c r="B210" s="11" t="s">
        <v>200</v>
      </c>
      <c r="C210" s="137">
        <f>VLOOKUP(A210,'Contribution Allocation_Report'!$A$9:$D$314,4,FALSE)</f>
        <v>1.1900742337469348E-4</v>
      </c>
      <c r="E210" s="144">
        <v>1.2539972979581357E-4</v>
      </c>
      <c r="F210" s="92"/>
      <c r="G210" s="101">
        <f t="shared" si="45"/>
        <v>-17476</v>
      </c>
      <c r="H210" s="86">
        <f t="shared" si="46"/>
        <v>-3029</v>
      </c>
      <c r="I210" s="86">
        <f t="shared" si="53"/>
        <v>-14447</v>
      </c>
      <c r="J210" s="86"/>
      <c r="K210" s="87"/>
      <c r="L210" s="107">
        <f t="shared" si="47"/>
        <v>-3029</v>
      </c>
      <c r="M210" s="107">
        <f t="shared" si="48"/>
        <v>-3029</v>
      </c>
      <c r="N210" s="107">
        <f t="shared" si="49"/>
        <v>-3029</v>
      </c>
      <c r="O210" s="107">
        <f t="shared" si="50"/>
        <v>-3029</v>
      </c>
      <c r="P210" s="108">
        <f t="shared" si="51"/>
        <v>-2331</v>
      </c>
      <c r="Q210" s="108">
        <f t="shared" si="52"/>
        <v>0</v>
      </c>
    </row>
    <row r="211" spans="1:17">
      <c r="A211" s="12">
        <v>6150</v>
      </c>
      <c r="B211" s="13" t="s">
        <v>201</v>
      </c>
      <c r="C211" s="138">
        <f>VLOOKUP(A211,'Contribution Allocation_Report'!$A$9:$D$314,4,FALSE)</f>
        <v>8.9858384115745388E-5</v>
      </c>
      <c r="E211" s="144">
        <v>9.8994414455301331E-5</v>
      </c>
      <c r="F211" s="92"/>
      <c r="G211" s="101">
        <f t="shared" si="45"/>
        <v>-24978</v>
      </c>
      <c r="H211" s="86">
        <f t="shared" si="46"/>
        <v>-4329</v>
      </c>
      <c r="I211" s="86">
        <f t="shared" si="53"/>
        <v>-20649</v>
      </c>
      <c r="J211" s="86"/>
      <c r="K211" s="87"/>
      <c r="L211" s="107">
        <f t="shared" si="47"/>
        <v>-4329</v>
      </c>
      <c r="M211" s="107">
        <f t="shared" si="48"/>
        <v>-4329</v>
      </c>
      <c r="N211" s="107">
        <f t="shared" si="49"/>
        <v>-4329</v>
      </c>
      <c r="O211" s="107">
        <f t="shared" si="50"/>
        <v>-4329</v>
      </c>
      <c r="P211" s="108">
        <f t="shared" si="51"/>
        <v>-3333</v>
      </c>
      <c r="Q211" s="108">
        <f t="shared" si="52"/>
        <v>0</v>
      </c>
    </row>
    <row r="212" spans="1:17">
      <c r="A212" s="10">
        <v>4480</v>
      </c>
      <c r="B212" s="11" t="s">
        <v>202</v>
      </c>
      <c r="C212" s="137">
        <f>VLOOKUP(A212,'Contribution Allocation_Report'!$A$9:$D$314,4,FALSE)</f>
        <v>1.7038140680932323E-4</v>
      </c>
      <c r="E212" s="144">
        <v>1.6662908181871866E-4</v>
      </c>
      <c r="F212" s="92"/>
      <c r="G212" s="101">
        <f t="shared" si="45"/>
        <v>10259</v>
      </c>
      <c r="H212" s="86">
        <f t="shared" si="46"/>
        <v>1778</v>
      </c>
      <c r="I212" s="86">
        <f t="shared" si="53"/>
        <v>8481</v>
      </c>
      <c r="J212" s="86"/>
      <c r="K212" s="87"/>
      <c r="L212" s="107">
        <f t="shared" si="47"/>
        <v>1778</v>
      </c>
      <c r="M212" s="107">
        <f t="shared" si="48"/>
        <v>1778</v>
      </c>
      <c r="N212" s="107">
        <f t="shared" si="49"/>
        <v>1778</v>
      </c>
      <c r="O212" s="107">
        <f t="shared" si="50"/>
        <v>1778</v>
      </c>
      <c r="P212" s="108">
        <f t="shared" si="51"/>
        <v>1369</v>
      </c>
      <c r="Q212" s="108">
        <f t="shared" si="52"/>
        <v>0</v>
      </c>
    </row>
    <row r="213" spans="1:17">
      <c r="A213" s="12">
        <v>28085</v>
      </c>
      <c r="B213" s="13" t="s">
        <v>203</v>
      </c>
      <c r="C213" s="138">
        <f>VLOOKUP(A213,'Contribution Allocation_Report'!$A$9:$D$314,4,FALSE)</f>
        <v>3.0783833593303974E-4</v>
      </c>
      <c r="E213" s="144">
        <v>3.116345423327181E-4</v>
      </c>
      <c r="F213" s="92"/>
      <c r="G213" s="101">
        <f t="shared" si="45"/>
        <v>-10379</v>
      </c>
      <c r="H213" s="86">
        <f t="shared" si="46"/>
        <v>-1799</v>
      </c>
      <c r="I213" s="86">
        <f t="shared" si="53"/>
        <v>-8580</v>
      </c>
      <c r="J213" s="86"/>
      <c r="K213" s="87"/>
      <c r="L213" s="107">
        <f t="shared" si="47"/>
        <v>-1799</v>
      </c>
      <c r="M213" s="107">
        <f t="shared" si="48"/>
        <v>-1799</v>
      </c>
      <c r="N213" s="107">
        <f t="shared" si="49"/>
        <v>-1799</v>
      </c>
      <c r="O213" s="107">
        <f t="shared" si="50"/>
        <v>-1799</v>
      </c>
      <c r="P213" s="108">
        <f t="shared" si="51"/>
        <v>-1384</v>
      </c>
      <c r="Q213" s="108">
        <f t="shared" si="52"/>
        <v>0</v>
      </c>
    </row>
    <row r="214" spans="1:17">
      <c r="A214" s="10">
        <v>3240</v>
      </c>
      <c r="B214" s="11" t="s">
        <v>204</v>
      </c>
      <c r="C214" s="137">
        <f>VLOOKUP(A214,'Contribution Allocation_Report'!$A$9:$D$314,4,FALSE)</f>
        <v>1.9399854390483523E-3</v>
      </c>
      <c r="E214" s="144">
        <v>1.81039333155157E-3</v>
      </c>
      <c r="F214" s="92"/>
      <c r="G214" s="101">
        <f t="shared" si="45"/>
        <v>354302</v>
      </c>
      <c r="H214" s="86">
        <f t="shared" si="46"/>
        <v>61404</v>
      </c>
      <c r="I214" s="86">
        <f t="shared" si="53"/>
        <v>292898</v>
      </c>
      <c r="J214" s="86"/>
      <c r="K214" s="87"/>
      <c r="L214" s="107">
        <f t="shared" si="47"/>
        <v>61404</v>
      </c>
      <c r="M214" s="107">
        <f t="shared" si="48"/>
        <v>61404</v>
      </c>
      <c r="N214" s="107">
        <f t="shared" si="49"/>
        <v>61404</v>
      </c>
      <c r="O214" s="107">
        <f t="shared" si="50"/>
        <v>61404</v>
      </c>
      <c r="P214" s="108">
        <f t="shared" si="51"/>
        <v>47282</v>
      </c>
      <c r="Q214" s="108">
        <f t="shared" si="52"/>
        <v>0</v>
      </c>
    </row>
    <row r="215" spans="1:17">
      <c r="A215" s="12">
        <v>12326</v>
      </c>
      <c r="B215" s="13" t="s">
        <v>205</v>
      </c>
      <c r="C215" s="138">
        <f>VLOOKUP(A215,'Contribution Allocation_Report'!$A$9:$D$314,4,FALSE)</f>
        <v>1.2867461043982906E-4</v>
      </c>
      <c r="E215" s="144">
        <v>1.6273463150385275E-4</v>
      </c>
      <c r="F215" s="92"/>
      <c r="G215" s="101">
        <f t="shared" si="45"/>
        <v>-93119</v>
      </c>
      <c r="H215" s="86">
        <f t="shared" si="46"/>
        <v>-16138</v>
      </c>
      <c r="I215" s="86">
        <f t="shared" si="53"/>
        <v>-76981</v>
      </c>
      <c r="J215" s="86"/>
      <c r="K215" s="87"/>
      <c r="L215" s="107">
        <f t="shared" si="47"/>
        <v>-16138</v>
      </c>
      <c r="M215" s="107">
        <f t="shared" si="48"/>
        <v>-16138</v>
      </c>
      <c r="N215" s="107">
        <f t="shared" si="49"/>
        <v>-16138</v>
      </c>
      <c r="O215" s="107">
        <f t="shared" si="50"/>
        <v>-16138</v>
      </c>
      <c r="P215" s="108">
        <f t="shared" si="51"/>
        <v>-12429</v>
      </c>
      <c r="Q215" s="108">
        <f t="shared" si="52"/>
        <v>0</v>
      </c>
    </row>
    <row r="216" spans="1:17">
      <c r="A216" s="10">
        <v>2445</v>
      </c>
      <c r="B216" s="11" t="s">
        <v>427</v>
      </c>
      <c r="C216" s="137">
        <f>VLOOKUP(A216,'Contribution Allocation_Report'!$A$9:$D$314,4,FALSE)</f>
        <v>2.0143291308795475E-4</v>
      </c>
      <c r="E216" s="144">
        <v>1.5143601456213491E-4</v>
      </c>
      <c r="F216" s="92"/>
      <c r="G216" s="101">
        <f t="shared" si="45"/>
        <v>136690</v>
      </c>
      <c r="H216" s="86">
        <f t="shared" si="46"/>
        <v>23690</v>
      </c>
      <c r="I216" s="86">
        <f t="shared" si="53"/>
        <v>113000</v>
      </c>
      <c r="J216" s="86"/>
      <c r="K216" s="87"/>
      <c r="L216" s="107">
        <f t="shared" si="47"/>
        <v>23690</v>
      </c>
      <c r="M216" s="107">
        <f t="shared" si="48"/>
        <v>23690</v>
      </c>
      <c r="N216" s="107">
        <f t="shared" si="49"/>
        <v>23690</v>
      </c>
      <c r="O216" s="107">
        <f t="shared" si="50"/>
        <v>23690</v>
      </c>
      <c r="P216" s="108">
        <f t="shared" si="51"/>
        <v>18240</v>
      </c>
      <c r="Q216" s="108">
        <f t="shared" si="52"/>
        <v>0</v>
      </c>
    </row>
    <row r="217" spans="1:17">
      <c r="A217" s="12">
        <v>29123</v>
      </c>
      <c r="B217" s="13" t="s">
        <v>206</v>
      </c>
      <c r="C217" s="138">
        <f>VLOOKUP(A217,'Contribution Allocation_Report'!$A$9:$D$314,4,FALSE)</f>
        <v>2.2507342545653806E-2</v>
      </c>
      <c r="E217" s="144">
        <v>2.2802085110683379E-2</v>
      </c>
      <c r="F217" s="92"/>
      <c r="G217" s="101">
        <f t="shared" si="45"/>
        <v>-805819</v>
      </c>
      <c r="H217" s="86">
        <f t="shared" si="46"/>
        <v>-139657</v>
      </c>
      <c r="I217" s="86">
        <f t="shared" si="53"/>
        <v>-666162</v>
      </c>
      <c r="J217" s="86"/>
      <c r="K217" s="87"/>
      <c r="L217" s="107">
        <f t="shared" si="47"/>
        <v>-139657</v>
      </c>
      <c r="M217" s="107">
        <f t="shared" si="48"/>
        <v>-139657</v>
      </c>
      <c r="N217" s="107">
        <f t="shared" si="49"/>
        <v>-139657</v>
      </c>
      <c r="O217" s="107">
        <f t="shared" si="50"/>
        <v>-139657</v>
      </c>
      <c r="P217" s="108">
        <f t="shared" si="51"/>
        <v>-107534</v>
      </c>
      <c r="Q217" s="108">
        <f t="shared" si="52"/>
        <v>0</v>
      </c>
    </row>
    <row r="218" spans="1:17">
      <c r="A218" s="10">
        <v>2318</v>
      </c>
      <c r="B218" s="11" t="s">
        <v>207</v>
      </c>
      <c r="C218" s="137">
        <f>VLOOKUP(A218,'Contribution Allocation_Report'!$A$9:$D$314,4,FALSE)</f>
        <v>4.3092352776465164E-4</v>
      </c>
      <c r="E218" s="144">
        <v>4.8240147761098183E-4</v>
      </c>
      <c r="F218" s="92"/>
      <c r="G218" s="101">
        <f t="shared" si="45"/>
        <v>-140739</v>
      </c>
      <c r="H218" s="86">
        <f t="shared" si="46"/>
        <v>-24392</v>
      </c>
      <c r="I218" s="86">
        <f t="shared" si="53"/>
        <v>-116347</v>
      </c>
      <c r="J218" s="86"/>
      <c r="K218" s="87"/>
      <c r="L218" s="107">
        <f t="shared" si="47"/>
        <v>-24392</v>
      </c>
      <c r="M218" s="107">
        <f t="shared" si="48"/>
        <v>-24392</v>
      </c>
      <c r="N218" s="107">
        <f t="shared" si="49"/>
        <v>-24392</v>
      </c>
      <c r="O218" s="107">
        <f t="shared" si="50"/>
        <v>-24392</v>
      </c>
      <c r="P218" s="108">
        <f t="shared" si="51"/>
        <v>-18779</v>
      </c>
      <c r="Q218" s="108">
        <f t="shared" si="52"/>
        <v>0</v>
      </c>
    </row>
    <row r="219" spans="1:17">
      <c r="A219" s="12">
        <v>3250</v>
      </c>
      <c r="B219" s="13" t="s">
        <v>208</v>
      </c>
      <c r="C219" s="138">
        <f>VLOOKUP(A219,'Contribution Allocation_Report'!$A$9:$D$314,4,FALSE)</f>
        <v>6.4668393472564866E-4</v>
      </c>
      <c r="E219" s="144">
        <v>6.3373541988663833E-4</v>
      </c>
      <c r="F219" s="92"/>
      <c r="G219" s="101">
        <f t="shared" si="45"/>
        <v>35401</v>
      </c>
      <c r="H219" s="86">
        <f t="shared" si="46"/>
        <v>6135</v>
      </c>
      <c r="I219" s="86">
        <f t="shared" si="53"/>
        <v>29266</v>
      </c>
      <c r="J219" s="86"/>
      <c r="K219" s="87"/>
      <c r="L219" s="107">
        <f t="shared" si="47"/>
        <v>6135</v>
      </c>
      <c r="M219" s="107">
        <f t="shared" si="48"/>
        <v>6135</v>
      </c>
      <c r="N219" s="107">
        <f t="shared" si="49"/>
        <v>6135</v>
      </c>
      <c r="O219" s="107">
        <f t="shared" si="50"/>
        <v>6135</v>
      </c>
      <c r="P219" s="108">
        <f t="shared" si="51"/>
        <v>4726</v>
      </c>
      <c r="Q219" s="108">
        <f t="shared" si="52"/>
        <v>0</v>
      </c>
    </row>
    <row r="220" spans="1:17">
      <c r="A220" s="10">
        <v>2313</v>
      </c>
      <c r="B220" s="11" t="s">
        <v>209</v>
      </c>
      <c r="C220" s="137">
        <f>VLOOKUP(A220,'Contribution Allocation_Report'!$A$9:$D$314,4,FALSE)</f>
        <v>8.531605975867176E-5</v>
      </c>
      <c r="E220" s="144">
        <v>9.1370399826803746E-5</v>
      </c>
      <c r="F220" s="92"/>
      <c r="G220" s="101">
        <f t="shared" si="45"/>
        <v>-16552</v>
      </c>
      <c r="H220" s="86">
        <f t="shared" si="46"/>
        <v>-2869</v>
      </c>
      <c r="I220" s="86">
        <f t="shared" si="53"/>
        <v>-13683</v>
      </c>
      <c r="J220" s="86"/>
      <c r="K220" s="87"/>
      <c r="L220" s="107">
        <f t="shared" si="47"/>
        <v>-2869</v>
      </c>
      <c r="M220" s="107">
        <f t="shared" si="48"/>
        <v>-2869</v>
      </c>
      <c r="N220" s="107">
        <f t="shared" si="49"/>
        <v>-2869</v>
      </c>
      <c r="O220" s="107">
        <f t="shared" si="50"/>
        <v>-2869</v>
      </c>
      <c r="P220" s="108">
        <f t="shared" si="51"/>
        <v>-2207</v>
      </c>
      <c r="Q220" s="108">
        <f t="shared" si="52"/>
        <v>0</v>
      </c>
    </row>
    <row r="221" spans="1:17">
      <c r="A221" s="12">
        <v>4011</v>
      </c>
      <c r="B221" s="13" t="s">
        <v>210</v>
      </c>
      <c r="C221" s="138">
        <f>VLOOKUP(A221,'Contribution Allocation_Report'!$A$9:$D$314,4,FALSE)</f>
        <v>1.2832906933695168E-2</v>
      </c>
      <c r="E221" s="144">
        <v>1.3031765107548348E-2</v>
      </c>
      <c r="F221" s="92"/>
      <c r="G221" s="101">
        <f t="shared" si="45"/>
        <v>-543673</v>
      </c>
      <c r="H221" s="86">
        <f t="shared" si="46"/>
        <v>-94224</v>
      </c>
      <c r="I221" s="86">
        <f t="shared" si="53"/>
        <v>-449449</v>
      </c>
      <c r="J221" s="86"/>
      <c r="K221" s="87"/>
      <c r="L221" s="107">
        <f t="shared" si="47"/>
        <v>-94224</v>
      </c>
      <c r="M221" s="107">
        <f t="shared" si="48"/>
        <v>-94224</v>
      </c>
      <c r="N221" s="107">
        <f t="shared" si="49"/>
        <v>-94224</v>
      </c>
      <c r="O221" s="107">
        <f t="shared" si="50"/>
        <v>-94224</v>
      </c>
      <c r="P221" s="108">
        <f t="shared" si="51"/>
        <v>-72553</v>
      </c>
      <c r="Q221" s="108">
        <f t="shared" si="52"/>
        <v>0</v>
      </c>
    </row>
    <row r="222" spans="1:17">
      <c r="A222" s="10">
        <v>31092</v>
      </c>
      <c r="B222" s="11" t="s">
        <v>211</v>
      </c>
      <c r="C222" s="137">
        <f>VLOOKUP(A222,'Contribution Allocation_Report'!$A$9:$D$314,4,FALSE)</f>
        <v>2.0719930537242161E-4</v>
      </c>
      <c r="E222" s="144">
        <v>2.0233082694310437E-4</v>
      </c>
      <c r="F222" s="92"/>
      <c r="G222" s="101">
        <f t="shared" si="45"/>
        <v>13310</v>
      </c>
      <c r="H222" s="86">
        <f t="shared" si="46"/>
        <v>2307</v>
      </c>
      <c r="I222" s="86">
        <f t="shared" si="53"/>
        <v>11003</v>
      </c>
      <c r="J222" s="86"/>
      <c r="K222" s="87"/>
      <c r="L222" s="107">
        <f t="shared" si="47"/>
        <v>2307</v>
      </c>
      <c r="M222" s="107">
        <f t="shared" si="48"/>
        <v>2307</v>
      </c>
      <c r="N222" s="107">
        <f t="shared" si="49"/>
        <v>2307</v>
      </c>
      <c r="O222" s="107">
        <f t="shared" si="50"/>
        <v>2307</v>
      </c>
      <c r="P222" s="108">
        <f t="shared" si="51"/>
        <v>1775</v>
      </c>
      <c r="Q222" s="108">
        <f t="shared" si="52"/>
        <v>0</v>
      </c>
    </row>
    <row r="223" spans="1:17">
      <c r="A223" s="12">
        <v>26081</v>
      </c>
      <c r="B223" s="13" t="s">
        <v>212</v>
      </c>
      <c r="C223" s="138">
        <f>VLOOKUP(A223,'Contribution Allocation_Report'!$A$9:$D$314,4,FALSE)</f>
        <v>2.2087568359492882E-3</v>
      </c>
      <c r="E223" s="144">
        <v>2.3908391661821701E-3</v>
      </c>
      <c r="F223" s="92"/>
      <c r="G223" s="101">
        <f t="shared" si="45"/>
        <v>-497809</v>
      </c>
      <c r="H223" s="86">
        <f t="shared" si="46"/>
        <v>-86275</v>
      </c>
      <c r="I223" s="86">
        <f t="shared" si="53"/>
        <v>-411534</v>
      </c>
      <c r="J223" s="86"/>
      <c r="K223" s="87"/>
      <c r="L223" s="107">
        <f t="shared" si="47"/>
        <v>-86275</v>
      </c>
      <c r="M223" s="107">
        <f t="shared" si="48"/>
        <v>-86275</v>
      </c>
      <c r="N223" s="107">
        <f t="shared" si="49"/>
        <v>-86275</v>
      </c>
      <c r="O223" s="107">
        <f t="shared" si="50"/>
        <v>-86275</v>
      </c>
      <c r="P223" s="108">
        <f t="shared" si="51"/>
        <v>-66434</v>
      </c>
      <c r="Q223" s="108">
        <f t="shared" si="52"/>
        <v>0</v>
      </c>
    </row>
    <row r="224" spans="1:17">
      <c r="A224" s="10">
        <v>29305</v>
      </c>
      <c r="B224" s="11" t="s">
        <v>213</v>
      </c>
      <c r="C224" s="137">
        <f>VLOOKUP(A224,'Contribution Allocation_Report'!$A$9:$D$314,4,FALSE)</f>
        <v>1.1933924901766153E-4</v>
      </c>
      <c r="E224" s="144">
        <v>1.587852191885754E-4</v>
      </c>
      <c r="F224" s="92"/>
      <c r="G224" s="101">
        <f t="shared" si="45"/>
        <v>-107844</v>
      </c>
      <c r="H224" s="86">
        <f t="shared" si="46"/>
        <v>-18690</v>
      </c>
      <c r="I224" s="86">
        <f t="shared" si="53"/>
        <v>-89154</v>
      </c>
      <c r="J224" s="86"/>
      <c r="K224" s="87"/>
      <c r="L224" s="107">
        <f t="shared" si="47"/>
        <v>-18690</v>
      </c>
      <c r="M224" s="107">
        <f t="shared" si="48"/>
        <v>-18690</v>
      </c>
      <c r="N224" s="107">
        <f t="shared" si="49"/>
        <v>-18690</v>
      </c>
      <c r="O224" s="107">
        <f t="shared" si="50"/>
        <v>-18690</v>
      </c>
      <c r="P224" s="108">
        <f t="shared" si="51"/>
        <v>-14394</v>
      </c>
      <c r="Q224" s="108">
        <f t="shared" si="52"/>
        <v>0</v>
      </c>
    </row>
    <row r="225" spans="1:17">
      <c r="A225" s="12">
        <v>10032</v>
      </c>
      <c r="B225" s="13" t="s">
        <v>214</v>
      </c>
      <c r="C225" s="138">
        <f>VLOOKUP(A225,'Contribution Allocation_Report'!$A$9:$D$314,4,FALSE)</f>
        <v>2.8153562330043977E-4</v>
      </c>
      <c r="E225" s="144">
        <v>2.9565630364168557E-4</v>
      </c>
      <c r="F225" s="92"/>
      <c r="G225" s="101">
        <f t="shared" si="45"/>
        <v>-38606</v>
      </c>
      <c r="H225" s="86">
        <f t="shared" si="46"/>
        <v>-6691</v>
      </c>
      <c r="I225" s="86">
        <f t="shared" si="53"/>
        <v>-31915</v>
      </c>
      <c r="J225" s="86"/>
      <c r="K225" s="87"/>
      <c r="L225" s="107">
        <f t="shared" si="47"/>
        <v>-6691</v>
      </c>
      <c r="M225" s="107">
        <f t="shared" si="48"/>
        <v>-6691</v>
      </c>
      <c r="N225" s="107">
        <f t="shared" si="49"/>
        <v>-6691</v>
      </c>
      <c r="O225" s="107">
        <f t="shared" si="50"/>
        <v>-6691</v>
      </c>
      <c r="P225" s="108">
        <f t="shared" si="51"/>
        <v>-5151</v>
      </c>
      <c r="Q225" s="108">
        <f t="shared" si="52"/>
        <v>0</v>
      </c>
    </row>
    <row r="226" spans="1:17">
      <c r="A226" s="10">
        <v>32107</v>
      </c>
      <c r="B226" s="11" t="s">
        <v>215</v>
      </c>
      <c r="C226" s="137">
        <f>VLOOKUP(A226,'Contribution Allocation_Report'!$A$9:$D$314,4,FALSE)</f>
        <v>3.5924918888355486E-4</v>
      </c>
      <c r="E226" s="144">
        <v>3.7421270565828535E-4</v>
      </c>
      <c r="F226" s="92"/>
      <c r="G226" s="101">
        <f t="shared" si="45"/>
        <v>-40910</v>
      </c>
      <c r="H226" s="86">
        <f t="shared" si="46"/>
        <v>-7090</v>
      </c>
      <c r="I226" s="86">
        <f t="shared" si="53"/>
        <v>-33820</v>
      </c>
      <c r="J226" s="86"/>
      <c r="K226" s="87"/>
      <c r="L226" s="107">
        <f t="shared" si="47"/>
        <v>-7090</v>
      </c>
      <c r="M226" s="107">
        <f t="shared" si="48"/>
        <v>-7090</v>
      </c>
      <c r="N226" s="107">
        <f t="shared" si="49"/>
        <v>-7090</v>
      </c>
      <c r="O226" s="107">
        <f t="shared" si="50"/>
        <v>-7090</v>
      </c>
      <c r="P226" s="108">
        <f t="shared" si="51"/>
        <v>-5460</v>
      </c>
      <c r="Q226" s="108">
        <f t="shared" si="52"/>
        <v>0</v>
      </c>
    </row>
    <row r="227" spans="1:17">
      <c r="A227" s="12">
        <v>3260</v>
      </c>
      <c r="B227" s="13" t="s">
        <v>216</v>
      </c>
      <c r="C227" s="138">
        <f>VLOOKUP(A227,'Contribution Allocation_Report'!$A$9:$D$314,4,FALSE)</f>
        <v>5.3770354489113166E-3</v>
      </c>
      <c r="E227" s="144">
        <v>5.2420557512390343E-3</v>
      </c>
      <c r="F227" s="92"/>
      <c r="G227" s="101">
        <f t="shared" si="45"/>
        <v>369031</v>
      </c>
      <c r="H227" s="86">
        <f t="shared" si="46"/>
        <v>63957</v>
      </c>
      <c r="I227" s="86">
        <f t="shared" si="53"/>
        <v>305074</v>
      </c>
      <c r="J227" s="86"/>
      <c r="K227" s="87"/>
      <c r="L227" s="107">
        <f t="shared" si="47"/>
        <v>63957</v>
      </c>
      <c r="M227" s="107">
        <f t="shared" si="48"/>
        <v>63957</v>
      </c>
      <c r="N227" s="107">
        <f t="shared" si="49"/>
        <v>63957</v>
      </c>
      <c r="O227" s="107">
        <f t="shared" si="50"/>
        <v>63957</v>
      </c>
      <c r="P227" s="108">
        <f t="shared" si="51"/>
        <v>49246</v>
      </c>
      <c r="Q227" s="108">
        <f t="shared" si="52"/>
        <v>0</v>
      </c>
    </row>
    <row r="228" spans="1:17">
      <c r="A228" s="10">
        <v>4390</v>
      </c>
      <c r="B228" s="11" t="s">
        <v>217</v>
      </c>
      <c r="C228" s="137">
        <f>VLOOKUP(A228,'Contribution Allocation_Report'!$A$9:$D$314,4,FALSE)</f>
        <v>6.4529026702518294E-5</v>
      </c>
      <c r="E228" s="144">
        <v>5.6885670425813621E-5</v>
      </c>
      <c r="F228" s="92"/>
      <c r="G228" s="101">
        <f t="shared" si="45"/>
        <v>20897</v>
      </c>
      <c r="H228" s="86">
        <f t="shared" si="46"/>
        <v>3622</v>
      </c>
      <c r="I228" s="86">
        <f t="shared" si="53"/>
        <v>17275</v>
      </c>
      <c r="J228" s="86"/>
      <c r="K228" s="87"/>
      <c r="L228" s="107">
        <f t="shared" si="47"/>
        <v>3622</v>
      </c>
      <c r="M228" s="107">
        <f t="shared" si="48"/>
        <v>3622</v>
      </c>
      <c r="N228" s="107">
        <f t="shared" si="49"/>
        <v>3622</v>
      </c>
      <c r="O228" s="107">
        <f t="shared" si="50"/>
        <v>3622</v>
      </c>
      <c r="P228" s="108">
        <f t="shared" si="51"/>
        <v>2787</v>
      </c>
      <c r="Q228" s="108">
        <f t="shared" si="52"/>
        <v>0</v>
      </c>
    </row>
    <row r="229" spans="1:17">
      <c r="A229" s="12">
        <v>3270</v>
      </c>
      <c r="B229" s="13" t="s">
        <v>218</v>
      </c>
      <c r="C229" s="138">
        <f>VLOOKUP(A229,'Contribution Allocation_Report'!$A$9:$D$314,4,FALSE)</f>
        <v>8.2099563192834888E-4</v>
      </c>
      <c r="E229" s="144">
        <v>7.9720811253887296E-4</v>
      </c>
      <c r="F229" s="92"/>
      <c r="G229" s="101">
        <f t="shared" si="45"/>
        <v>65034</v>
      </c>
      <c r="H229" s="86">
        <f t="shared" si="46"/>
        <v>11271</v>
      </c>
      <c r="I229" s="86">
        <f t="shared" si="53"/>
        <v>53763</v>
      </c>
      <c r="J229" s="86"/>
      <c r="K229" s="87"/>
      <c r="L229" s="107">
        <f t="shared" si="47"/>
        <v>11271</v>
      </c>
      <c r="M229" s="107">
        <f t="shared" si="48"/>
        <v>11271</v>
      </c>
      <c r="N229" s="107">
        <f t="shared" si="49"/>
        <v>11271</v>
      </c>
      <c r="O229" s="107">
        <f t="shared" si="50"/>
        <v>11271</v>
      </c>
      <c r="P229" s="108">
        <f t="shared" si="51"/>
        <v>8679</v>
      </c>
      <c r="Q229" s="108">
        <f t="shared" si="52"/>
        <v>0</v>
      </c>
    </row>
    <row r="230" spans="1:17">
      <c r="A230" s="10">
        <v>29303</v>
      </c>
      <c r="B230" s="11" t="s">
        <v>219</v>
      </c>
      <c r="C230" s="137">
        <f>VLOOKUP(A230,'Contribution Allocation_Report'!$A$9:$D$314,4,FALSE)</f>
        <v>2.3785999478266855E-4</v>
      </c>
      <c r="E230" s="144">
        <v>2.8488375156104841E-4</v>
      </c>
      <c r="F230" s="92"/>
      <c r="G230" s="101">
        <f t="shared" si="45"/>
        <v>-128562</v>
      </c>
      <c r="H230" s="86">
        <f t="shared" si="46"/>
        <v>-22281</v>
      </c>
      <c r="I230" s="86">
        <f t="shared" si="53"/>
        <v>-106281</v>
      </c>
      <c r="J230" s="86"/>
      <c r="K230" s="87"/>
      <c r="L230" s="107">
        <f t="shared" si="47"/>
        <v>-22281</v>
      </c>
      <c r="M230" s="107">
        <f t="shared" si="48"/>
        <v>-22281</v>
      </c>
      <c r="N230" s="107">
        <f t="shared" si="49"/>
        <v>-22281</v>
      </c>
      <c r="O230" s="107">
        <f t="shared" si="50"/>
        <v>-22281</v>
      </c>
      <c r="P230" s="108">
        <f t="shared" si="51"/>
        <v>-17157</v>
      </c>
      <c r="Q230" s="108">
        <f t="shared" si="52"/>
        <v>0</v>
      </c>
    </row>
    <row r="231" spans="1:17">
      <c r="A231" s="12">
        <v>3280</v>
      </c>
      <c r="B231" s="13" t="s">
        <v>412</v>
      </c>
      <c r="C231" s="138">
        <f>VLOOKUP(A231,'Contribution Allocation_Report'!$A$9:$D$314,4,FALSE)</f>
        <v>4.2192515371767608E-3</v>
      </c>
      <c r="E231" s="144">
        <v>4.0149427231964243E-3</v>
      </c>
      <c r="F231" s="92"/>
      <c r="G231" s="101">
        <f t="shared" si="45"/>
        <v>558575</v>
      </c>
      <c r="H231" s="86">
        <f t="shared" si="46"/>
        <v>96807</v>
      </c>
      <c r="I231" s="86">
        <f t="shared" si="53"/>
        <v>461768</v>
      </c>
      <c r="J231" s="86"/>
      <c r="K231" s="87"/>
      <c r="L231" s="107">
        <f t="shared" si="47"/>
        <v>96807</v>
      </c>
      <c r="M231" s="107">
        <f t="shared" si="48"/>
        <v>96807</v>
      </c>
      <c r="N231" s="107">
        <f t="shared" si="49"/>
        <v>96807</v>
      </c>
      <c r="O231" s="107">
        <f t="shared" si="50"/>
        <v>96807</v>
      </c>
      <c r="P231" s="108">
        <f t="shared" si="51"/>
        <v>74540</v>
      </c>
      <c r="Q231" s="108">
        <f t="shared" si="52"/>
        <v>0</v>
      </c>
    </row>
    <row r="232" spans="1:17">
      <c r="A232" s="10">
        <v>4260</v>
      </c>
      <c r="B232" s="11" t="s">
        <v>221</v>
      </c>
      <c r="C232" s="137">
        <f>VLOOKUP(A232,'Contribution Allocation_Report'!$A$9:$D$314,4,FALSE)</f>
        <v>3.0738852783923865E-4</v>
      </c>
      <c r="E232" s="144">
        <v>3.1162669061837359E-4</v>
      </c>
      <c r="F232" s="92"/>
      <c r="G232" s="101">
        <f t="shared" si="45"/>
        <v>-11587</v>
      </c>
      <c r="H232" s="86">
        <f t="shared" si="46"/>
        <v>-2008</v>
      </c>
      <c r="I232" s="86">
        <f t="shared" si="53"/>
        <v>-9579</v>
      </c>
      <c r="J232" s="86"/>
      <c r="K232" s="87"/>
      <c r="L232" s="107">
        <f t="shared" si="47"/>
        <v>-2008</v>
      </c>
      <c r="M232" s="107">
        <f t="shared" si="48"/>
        <v>-2008</v>
      </c>
      <c r="N232" s="107">
        <f t="shared" si="49"/>
        <v>-2008</v>
      </c>
      <c r="O232" s="107">
        <f t="shared" si="50"/>
        <v>-2008</v>
      </c>
      <c r="P232" s="108">
        <f t="shared" si="51"/>
        <v>-1547</v>
      </c>
      <c r="Q232" s="108">
        <f t="shared" si="52"/>
        <v>0</v>
      </c>
    </row>
    <row r="233" spans="1:17">
      <c r="A233" s="12">
        <v>1003</v>
      </c>
      <c r="B233" s="13" t="s">
        <v>222</v>
      </c>
      <c r="C233" s="138">
        <f>VLOOKUP(A233,'Contribution Allocation_Report'!$A$9:$D$314,4,FALSE)</f>
        <v>4.586117968042226E-3</v>
      </c>
      <c r="E233" s="144">
        <v>4.4615168282535088E-3</v>
      </c>
      <c r="F233" s="92"/>
      <c r="G233" s="101">
        <f t="shared" si="45"/>
        <v>340656</v>
      </c>
      <c r="H233" s="86">
        <f t="shared" si="46"/>
        <v>59039</v>
      </c>
      <c r="I233" s="86">
        <f t="shared" si="53"/>
        <v>281617</v>
      </c>
      <c r="J233" s="86"/>
      <c r="K233" s="87"/>
      <c r="L233" s="107">
        <f t="shared" si="47"/>
        <v>59039</v>
      </c>
      <c r="M233" s="107">
        <f t="shared" si="48"/>
        <v>59039</v>
      </c>
      <c r="N233" s="107">
        <f t="shared" si="49"/>
        <v>59039</v>
      </c>
      <c r="O233" s="107">
        <f t="shared" si="50"/>
        <v>59039</v>
      </c>
      <c r="P233" s="108">
        <f t="shared" si="51"/>
        <v>45461</v>
      </c>
      <c r="Q233" s="108">
        <f t="shared" si="52"/>
        <v>0</v>
      </c>
    </row>
    <row r="234" spans="1:17">
      <c r="A234" s="10">
        <v>3290</v>
      </c>
      <c r="B234" s="11" t="s">
        <v>223</v>
      </c>
      <c r="C234" s="137">
        <f>VLOOKUP(A234,'Contribution Allocation_Report'!$A$9:$D$314,4,FALSE)</f>
        <v>9.703584651217588E-3</v>
      </c>
      <c r="E234" s="144">
        <v>9.0881866160289725E-3</v>
      </c>
      <c r="F234" s="92"/>
      <c r="G234" s="101">
        <f t="shared" si="45"/>
        <v>1682483</v>
      </c>
      <c r="H234" s="86">
        <f t="shared" si="46"/>
        <v>291592</v>
      </c>
      <c r="I234" s="86">
        <f t="shared" si="53"/>
        <v>1390891</v>
      </c>
      <c r="J234" s="86"/>
      <c r="K234" s="87"/>
      <c r="L234" s="107">
        <f t="shared" si="47"/>
        <v>291592</v>
      </c>
      <c r="M234" s="107">
        <f t="shared" si="48"/>
        <v>291592</v>
      </c>
      <c r="N234" s="107">
        <f t="shared" si="49"/>
        <v>291592</v>
      </c>
      <c r="O234" s="107">
        <f t="shared" si="50"/>
        <v>291592</v>
      </c>
      <c r="P234" s="108">
        <f t="shared" si="51"/>
        <v>224523</v>
      </c>
      <c r="Q234" s="108">
        <f t="shared" si="52"/>
        <v>0</v>
      </c>
    </row>
    <row r="235" spans="1:17">
      <c r="A235" s="12">
        <v>1002</v>
      </c>
      <c r="B235" s="13" t="s">
        <v>224</v>
      </c>
      <c r="C235" s="138">
        <f>VLOOKUP(A235,'Contribution Allocation_Report'!$A$9:$D$314,4,FALSE)</f>
        <v>1.4551218095434516E-2</v>
      </c>
      <c r="E235" s="144">
        <v>1.6149578801457946E-2</v>
      </c>
      <c r="F235" s="92"/>
      <c r="G235" s="101">
        <f t="shared" si="45"/>
        <v>-4369878</v>
      </c>
      <c r="H235" s="86">
        <f t="shared" si="46"/>
        <v>-757345</v>
      </c>
      <c r="I235" s="86">
        <f t="shared" si="53"/>
        <v>-3612533</v>
      </c>
      <c r="J235" s="86"/>
      <c r="K235" s="87"/>
      <c r="L235" s="107">
        <f t="shared" si="47"/>
        <v>-757345</v>
      </c>
      <c r="M235" s="107">
        <f t="shared" si="48"/>
        <v>-757345</v>
      </c>
      <c r="N235" s="107">
        <f t="shared" si="49"/>
        <v>-757345</v>
      </c>
      <c r="O235" s="107">
        <f t="shared" si="50"/>
        <v>-757345</v>
      </c>
      <c r="P235" s="108">
        <f t="shared" si="51"/>
        <v>-583153</v>
      </c>
      <c r="Q235" s="108">
        <f t="shared" si="52"/>
        <v>0</v>
      </c>
    </row>
    <row r="236" spans="1:17">
      <c r="A236" s="10">
        <v>4270</v>
      </c>
      <c r="B236" s="11" t="s">
        <v>413</v>
      </c>
      <c r="C236" s="137">
        <f>VLOOKUP(A236,'Contribution Allocation_Report'!$A$9:$D$314,4,FALSE)</f>
        <v>3.4668405786983169E-4</v>
      </c>
      <c r="E236" s="144">
        <v>3.3862873624906692E-4</v>
      </c>
      <c r="F236" s="92"/>
      <c r="G236" s="101">
        <f t="shared" si="45"/>
        <v>22023</v>
      </c>
      <c r="H236" s="86">
        <f t="shared" si="46"/>
        <v>3817</v>
      </c>
      <c r="I236" s="86">
        <f t="shared" ref="I236" si="54">G236-H236</f>
        <v>18206</v>
      </c>
      <c r="J236" s="86"/>
      <c r="K236" s="87"/>
      <c r="L236" s="107">
        <f t="shared" si="47"/>
        <v>3817</v>
      </c>
      <c r="M236" s="107">
        <f t="shared" si="48"/>
        <v>3817</v>
      </c>
      <c r="N236" s="107">
        <f t="shared" si="49"/>
        <v>3817</v>
      </c>
      <c r="O236" s="107">
        <f t="shared" si="50"/>
        <v>3817</v>
      </c>
      <c r="P236" s="108">
        <f t="shared" si="51"/>
        <v>2938</v>
      </c>
      <c r="Q236" s="108">
        <f t="shared" ref="Q236" si="55">+I236-SUM(L236:P236)</f>
        <v>0</v>
      </c>
    </row>
    <row r="237" spans="1:17">
      <c r="A237" s="12">
        <v>24072</v>
      </c>
      <c r="B237" s="13" t="s">
        <v>225</v>
      </c>
      <c r="C237" s="138">
        <f>VLOOKUP(A237,'Contribution Allocation_Report'!$A$9:$D$314,4,FALSE)</f>
        <v>1.1349026901761152E-3</v>
      </c>
      <c r="E237" s="144">
        <v>1.2120769950729159E-3</v>
      </c>
      <c r="F237" s="92"/>
      <c r="G237" s="101">
        <f t="shared" si="45"/>
        <v>-210993</v>
      </c>
      <c r="H237" s="86">
        <f t="shared" si="46"/>
        <v>-36567</v>
      </c>
      <c r="I237" s="86">
        <f t="shared" si="53"/>
        <v>-174426</v>
      </c>
      <c r="J237" s="86"/>
      <c r="K237" s="87"/>
      <c r="L237" s="107">
        <f t="shared" si="47"/>
        <v>-36567</v>
      </c>
      <c r="M237" s="107">
        <f t="shared" si="48"/>
        <v>-36567</v>
      </c>
      <c r="N237" s="107">
        <f t="shared" si="49"/>
        <v>-36567</v>
      </c>
      <c r="O237" s="107">
        <f t="shared" si="50"/>
        <v>-36567</v>
      </c>
      <c r="P237" s="108">
        <f t="shared" si="51"/>
        <v>-28158</v>
      </c>
      <c r="Q237" s="108">
        <f t="shared" si="52"/>
        <v>0</v>
      </c>
    </row>
    <row r="238" spans="1:17">
      <c r="A238" s="10">
        <v>14366</v>
      </c>
      <c r="B238" s="11" t="s">
        <v>226</v>
      </c>
      <c r="C238" s="137">
        <f>VLOOKUP(A238,'Contribution Allocation_Report'!$A$9:$D$314,4,FALSE)</f>
        <v>7.5746208215473471E-4</v>
      </c>
      <c r="E238" s="144">
        <v>7.6489830801130588E-4</v>
      </c>
      <c r="F238" s="92"/>
      <c r="G238" s="101">
        <f t="shared" si="45"/>
        <v>-20330</v>
      </c>
      <c r="H238" s="86">
        <f t="shared" si="46"/>
        <v>-3523</v>
      </c>
      <c r="I238" s="86">
        <f t="shared" si="53"/>
        <v>-16807</v>
      </c>
      <c r="J238" s="86"/>
      <c r="K238" s="87"/>
      <c r="L238" s="107">
        <f t="shared" si="47"/>
        <v>-3523</v>
      </c>
      <c r="M238" s="107">
        <f t="shared" si="48"/>
        <v>-3523</v>
      </c>
      <c r="N238" s="107">
        <f t="shared" si="49"/>
        <v>-3523</v>
      </c>
      <c r="O238" s="107">
        <f t="shared" si="50"/>
        <v>-3523</v>
      </c>
      <c r="P238" s="108">
        <f t="shared" si="51"/>
        <v>-2715</v>
      </c>
      <c r="Q238" s="108">
        <f t="shared" si="52"/>
        <v>0</v>
      </c>
    </row>
    <row r="239" spans="1:17">
      <c r="A239" s="12">
        <v>4317</v>
      </c>
      <c r="B239" s="13" t="s">
        <v>227</v>
      </c>
      <c r="C239" s="138">
        <f>VLOOKUP(A239,'Contribution Allocation_Report'!$A$9:$D$314,4,FALSE)</f>
        <v>2.1694023146932786E-4</v>
      </c>
      <c r="E239" s="144">
        <v>2.1300915845160769E-4</v>
      </c>
      <c r="F239" s="92"/>
      <c r="G239" s="101">
        <f t="shared" si="45"/>
        <v>10747</v>
      </c>
      <c r="H239" s="86">
        <f t="shared" si="46"/>
        <v>1863</v>
      </c>
      <c r="I239" s="86">
        <f t="shared" si="53"/>
        <v>8884</v>
      </c>
      <c r="J239" s="86"/>
      <c r="K239" s="87"/>
      <c r="L239" s="107">
        <f t="shared" si="47"/>
        <v>1863</v>
      </c>
      <c r="M239" s="107">
        <f t="shared" si="48"/>
        <v>1863</v>
      </c>
      <c r="N239" s="107">
        <f t="shared" si="49"/>
        <v>1863</v>
      </c>
      <c r="O239" s="107">
        <f t="shared" si="50"/>
        <v>1863</v>
      </c>
      <c r="P239" s="108">
        <f t="shared" si="51"/>
        <v>1432</v>
      </c>
      <c r="Q239" s="108">
        <f t="shared" si="52"/>
        <v>0</v>
      </c>
    </row>
    <row r="240" spans="1:17">
      <c r="A240" s="10">
        <v>2433</v>
      </c>
      <c r="B240" s="11" t="s">
        <v>228</v>
      </c>
      <c r="C240" s="137">
        <f>VLOOKUP(A240,'Contribution Allocation_Report'!$A$9:$D$314,4,FALSE)</f>
        <v>5.5678130719084091E-4</v>
      </c>
      <c r="E240" s="144">
        <v>4.2354502688470177E-4</v>
      </c>
      <c r="F240" s="92"/>
      <c r="G240" s="101">
        <f t="shared" si="45"/>
        <v>364265</v>
      </c>
      <c r="H240" s="86">
        <f t="shared" si="46"/>
        <v>63131</v>
      </c>
      <c r="I240" s="86">
        <f t="shared" si="53"/>
        <v>301134</v>
      </c>
      <c r="J240" s="86"/>
      <c r="K240" s="87"/>
      <c r="L240" s="107">
        <f t="shared" si="47"/>
        <v>63131</v>
      </c>
      <c r="M240" s="107">
        <f t="shared" si="48"/>
        <v>63131</v>
      </c>
      <c r="N240" s="107">
        <f t="shared" si="49"/>
        <v>63131</v>
      </c>
      <c r="O240" s="107">
        <f t="shared" si="50"/>
        <v>63131</v>
      </c>
      <c r="P240" s="108">
        <f t="shared" si="51"/>
        <v>48610</v>
      </c>
      <c r="Q240" s="108">
        <f t="shared" si="52"/>
        <v>0</v>
      </c>
    </row>
    <row r="241" spans="1:17">
      <c r="A241" s="12">
        <v>3300</v>
      </c>
      <c r="B241" s="13" t="s">
        <v>414</v>
      </c>
      <c r="C241" s="138">
        <f>VLOOKUP(A241,'Contribution Allocation_Report'!$A$9:$D$314,4,FALSE)</f>
        <v>6.7789029297099859E-4</v>
      </c>
      <c r="E241" s="144">
        <v>6.127791943012006E-4</v>
      </c>
      <c r="F241" s="92"/>
      <c r="G241" s="101">
        <f t="shared" si="45"/>
        <v>178012</v>
      </c>
      <c r="H241" s="86">
        <f t="shared" si="46"/>
        <v>30851</v>
      </c>
      <c r="I241" s="86">
        <f t="shared" si="53"/>
        <v>147161</v>
      </c>
      <c r="J241" s="86"/>
      <c r="K241" s="87"/>
      <c r="L241" s="107">
        <f t="shared" si="47"/>
        <v>30851</v>
      </c>
      <c r="M241" s="107">
        <f t="shared" si="48"/>
        <v>30851</v>
      </c>
      <c r="N241" s="107">
        <f t="shared" si="49"/>
        <v>30851</v>
      </c>
      <c r="O241" s="107">
        <f t="shared" si="50"/>
        <v>30851</v>
      </c>
      <c r="P241" s="108">
        <f t="shared" si="51"/>
        <v>23757</v>
      </c>
      <c r="Q241" s="108">
        <f t="shared" si="52"/>
        <v>0</v>
      </c>
    </row>
    <row r="242" spans="1:17">
      <c r="A242" s="10">
        <v>8026</v>
      </c>
      <c r="B242" s="11" t="s">
        <v>230</v>
      </c>
      <c r="C242" s="137">
        <f>VLOOKUP(A242,'Contribution Allocation_Report'!$A$9:$D$314,4,FALSE)</f>
        <v>3.204034669467629E-3</v>
      </c>
      <c r="E242" s="144">
        <v>3.280014408838028E-3</v>
      </c>
      <c r="F242" s="92"/>
      <c r="G242" s="101">
        <f t="shared" si="45"/>
        <v>-207727</v>
      </c>
      <c r="H242" s="86">
        <f t="shared" si="46"/>
        <v>-36001</v>
      </c>
      <c r="I242" s="86">
        <f t="shared" si="53"/>
        <v>-171726</v>
      </c>
      <c r="J242" s="86"/>
      <c r="K242" s="87"/>
      <c r="L242" s="107">
        <f t="shared" si="47"/>
        <v>-36001</v>
      </c>
      <c r="M242" s="107">
        <f t="shared" si="48"/>
        <v>-36001</v>
      </c>
      <c r="N242" s="107">
        <f t="shared" si="49"/>
        <v>-36001</v>
      </c>
      <c r="O242" s="107">
        <f t="shared" si="50"/>
        <v>-36001</v>
      </c>
      <c r="P242" s="108">
        <f t="shared" si="51"/>
        <v>-27722</v>
      </c>
      <c r="Q242" s="108">
        <f t="shared" si="52"/>
        <v>0</v>
      </c>
    </row>
    <row r="243" spans="1:17">
      <c r="A243" s="12">
        <v>13438</v>
      </c>
      <c r="B243" s="13" t="s">
        <v>231</v>
      </c>
      <c r="C243" s="138">
        <f>VLOOKUP(A243,'Contribution Allocation_Report'!$A$9:$D$314,4,FALSE)</f>
        <v>1.0097823010676328E-4</v>
      </c>
      <c r="E243" s="144">
        <v>9.9002266169645825E-5</v>
      </c>
      <c r="F243" s="92"/>
      <c r="G243" s="101">
        <f t="shared" si="45"/>
        <v>5402</v>
      </c>
      <c r="H243" s="86">
        <f t="shared" si="46"/>
        <v>936</v>
      </c>
      <c r="I243" s="86">
        <f t="shared" si="53"/>
        <v>4466</v>
      </c>
      <c r="J243" s="86"/>
      <c r="K243" s="87"/>
      <c r="L243" s="107">
        <f t="shared" si="47"/>
        <v>936</v>
      </c>
      <c r="M243" s="107">
        <f t="shared" si="48"/>
        <v>936</v>
      </c>
      <c r="N243" s="107">
        <f t="shared" si="49"/>
        <v>936</v>
      </c>
      <c r="O243" s="107">
        <f t="shared" si="50"/>
        <v>936</v>
      </c>
      <c r="P243" s="108">
        <f t="shared" si="51"/>
        <v>722</v>
      </c>
      <c r="Q243" s="108">
        <f t="shared" si="52"/>
        <v>0</v>
      </c>
    </row>
    <row r="244" spans="1:17">
      <c r="A244" s="10">
        <v>25076</v>
      </c>
      <c r="B244" s="11" t="s">
        <v>232</v>
      </c>
      <c r="C244" s="137">
        <f>VLOOKUP(A244,'Contribution Allocation_Report'!$A$9:$D$314,4,FALSE)</f>
        <v>1.8590421038736818E-3</v>
      </c>
      <c r="E244" s="144">
        <v>2.0656996751769333E-3</v>
      </c>
      <c r="F244" s="92"/>
      <c r="G244" s="101">
        <f t="shared" si="45"/>
        <v>-564997</v>
      </c>
      <c r="H244" s="86">
        <f t="shared" si="46"/>
        <v>-97920</v>
      </c>
      <c r="I244" s="86">
        <f t="shared" si="53"/>
        <v>-467077</v>
      </c>
      <c r="J244" s="86"/>
      <c r="K244" s="87"/>
      <c r="L244" s="107">
        <f t="shared" si="47"/>
        <v>-97920</v>
      </c>
      <c r="M244" s="107">
        <f t="shared" si="48"/>
        <v>-97920</v>
      </c>
      <c r="N244" s="107">
        <f t="shared" si="49"/>
        <v>-97920</v>
      </c>
      <c r="O244" s="107">
        <f t="shared" si="50"/>
        <v>-97920</v>
      </c>
      <c r="P244" s="108">
        <f t="shared" si="51"/>
        <v>-75397</v>
      </c>
      <c r="Q244" s="108">
        <f t="shared" si="52"/>
        <v>0</v>
      </c>
    </row>
    <row r="245" spans="1:17">
      <c r="A245" s="12">
        <v>2440</v>
      </c>
      <c r="B245" s="13" t="s">
        <v>396</v>
      </c>
      <c r="C245" s="138">
        <f>VLOOKUP(A245,'Contribution Allocation_Report'!$A$9:$D$314,4,FALSE)</f>
        <v>4.2711859372528474E-4</v>
      </c>
      <c r="E245" s="144">
        <v>4.8116875845889722E-4</v>
      </c>
      <c r="F245" s="92"/>
      <c r="G245" s="101">
        <f t="shared" si="45"/>
        <v>-147772</v>
      </c>
      <c r="H245" s="86">
        <f t="shared" si="46"/>
        <v>-25610</v>
      </c>
      <c r="I245" s="86">
        <f t="shared" si="53"/>
        <v>-122162</v>
      </c>
      <c r="J245" s="86"/>
      <c r="K245" s="87"/>
      <c r="L245" s="107">
        <f t="shared" si="47"/>
        <v>-25610</v>
      </c>
      <c r="M245" s="107">
        <f t="shared" si="48"/>
        <v>-25610</v>
      </c>
      <c r="N245" s="107">
        <f t="shared" si="49"/>
        <v>-25610</v>
      </c>
      <c r="O245" s="107">
        <f t="shared" si="50"/>
        <v>-25610</v>
      </c>
      <c r="P245" s="108">
        <f t="shared" si="51"/>
        <v>-19722</v>
      </c>
      <c r="Q245" s="108">
        <f t="shared" si="52"/>
        <v>0</v>
      </c>
    </row>
    <row r="246" spans="1:17">
      <c r="A246" s="10">
        <v>2309</v>
      </c>
      <c r="B246" s="11" t="s">
        <v>233</v>
      </c>
      <c r="C246" s="137">
        <f>VLOOKUP(A246,'Contribution Allocation_Report'!$A$9:$D$314,4,FALSE)</f>
        <v>8.3416542300259161E-4</v>
      </c>
      <c r="E246" s="144">
        <v>9.1393169798402755E-4</v>
      </c>
      <c r="F246" s="92"/>
      <c r="G246" s="101">
        <f t="shared" si="45"/>
        <v>-218079</v>
      </c>
      <c r="H246" s="86">
        <f t="shared" si="46"/>
        <v>-37795</v>
      </c>
      <c r="I246" s="86">
        <f t="shared" si="53"/>
        <v>-180284</v>
      </c>
      <c r="J246" s="86"/>
      <c r="K246" s="87"/>
      <c r="L246" s="107">
        <f t="shared" si="47"/>
        <v>-37795</v>
      </c>
      <c r="M246" s="107">
        <f t="shared" si="48"/>
        <v>-37795</v>
      </c>
      <c r="N246" s="107">
        <f t="shared" si="49"/>
        <v>-37795</v>
      </c>
      <c r="O246" s="107">
        <f t="shared" si="50"/>
        <v>-37795</v>
      </c>
      <c r="P246" s="108">
        <f t="shared" si="51"/>
        <v>-29104</v>
      </c>
      <c r="Q246" s="108">
        <f t="shared" si="52"/>
        <v>0</v>
      </c>
    </row>
    <row r="247" spans="1:17">
      <c r="A247" s="12">
        <v>2396</v>
      </c>
      <c r="B247" s="13" t="s">
        <v>234</v>
      </c>
      <c r="C247" s="138">
        <f>VLOOKUP(A247,'Contribution Allocation_Report'!$A$9:$D$314,4,FALSE)</f>
        <v>1.5244807428269489E-4</v>
      </c>
      <c r="E247" s="144">
        <v>2.3193179002182313E-4</v>
      </c>
      <c r="F247" s="92"/>
      <c r="G247" s="101">
        <f t="shared" si="45"/>
        <v>-217306</v>
      </c>
      <c r="H247" s="86">
        <f t="shared" si="46"/>
        <v>-37661</v>
      </c>
      <c r="I247" s="86">
        <f t="shared" si="53"/>
        <v>-179645</v>
      </c>
      <c r="J247" s="86"/>
      <c r="K247" s="87"/>
      <c r="L247" s="107">
        <f t="shared" si="47"/>
        <v>-37661</v>
      </c>
      <c r="M247" s="107">
        <f t="shared" si="48"/>
        <v>-37661</v>
      </c>
      <c r="N247" s="107">
        <f t="shared" si="49"/>
        <v>-37661</v>
      </c>
      <c r="O247" s="107">
        <f t="shared" si="50"/>
        <v>-37661</v>
      </c>
      <c r="P247" s="108">
        <f t="shared" si="51"/>
        <v>-29001</v>
      </c>
      <c r="Q247" s="108">
        <f t="shared" si="52"/>
        <v>0</v>
      </c>
    </row>
    <row r="248" spans="1:17">
      <c r="A248" s="10" t="s">
        <v>721</v>
      </c>
      <c r="B248" s="11" t="s">
        <v>455</v>
      </c>
      <c r="C248" s="137">
        <f>VLOOKUP(A248,'Contribution Allocation_Report'!$A$9:$D$314,4,FALSE)</f>
        <v>1.7991733839790702E-3</v>
      </c>
      <c r="E248" s="144">
        <v>1.6725800413771212E-3</v>
      </c>
      <c r="F248" s="92"/>
      <c r="G248" s="101">
        <f t="shared" si="45"/>
        <v>346103</v>
      </c>
      <c r="H248" s="86">
        <f t="shared" si="46"/>
        <v>59983</v>
      </c>
      <c r="I248" s="86">
        <f t="shared" si="53"/>
        <v>286120</v>
      </c>
      <c r="J248" s="86"/>
      <c r="K248" s="87"/>
      <c r="L248" s="107">
        <f t="shared" si="47"/>
        <v>59983</v>
      </c>
      <c r="M248" s="107">
        <f t="shared" si="48"/>
        <v>59983</v>
      </c>
      <c r="N248" s="107">
        <f t="shared" si="49"/>
        <v>59983</v>
      </c>
      <c r="O248" s="107">
        <f t="shared" si="50"/>
        <v>59983</v>
      </c>
      <c r="P248" s="108">
        <f t="shared" si="51"/>
        <v>46188</v>
      </c>
      <c r="Q248" s="108">
        <f t="shared" si="52"/>
        <v>0</v>
      </c>
    </row>
    <row r="249" spans="1:17">
      <c r="A249" s="12">
        <v>3380</v>
      </c>
      <c r="B249" s="13" t="s">
        <v>235</v>
      </c>
      <c r="C249" s="138">
        <f>VLOOKUP(A249,'Contribution Allocation_Report'!$A$9:$D$314,4,FALSE)</f>
        <v>1.6130413199835306E-4</v>
      </c>
      <c r="E249" s="144">
        <v>1.5610778459710509E-4</v>
      </c>
      <c r="F249" s="92"/>
      <c r="G249" s="101">
        <f t="shared" si="45"/>
        <v>14207</v>
      </c>
      <c r="H249" s="86">
        <f t="shared" si="46"/>
        <v>2462</v>
      </c>
      <c r="I249" s="86">
        <f t="shared" si="53"/>
        <v>11745</v>
      </c>
      <c r="J249" s="86"/>
      <c r="K249" s="87"/>
      <c r="L249" s="107">
        <f t="shared" si="47"/>
        <v>2462</v>
      </c>
      <c r="M249" s="107">
        <f t="shared" si="48"/>
        <v>2462</v>
      </c>
      <c r="N249" s="107">
        <f t="shared" si="49"/>
        <v>2462</v>
      </c>
      <c r="O249" s="107">
        <f t="shared" si="50"/>
        <v>2462</v>
      </c>
      <c r="P249" s="108">
        <f t="shared" si="51"/>
        <v>1897</v>
      </c>
      <c r="Q249" s="108">
        <f t="shared" si="52"/>
        <v>0</v>
      </c>
    </row>
    <row r="250" spans="1:17">
      <c r="A250" s="10">
        <v>2420</v>
      </c>
      <c r="B250" s="11" t="s">
        <v>236</v>
      </c>
      <c r="C250" s="137">
        <f>VLOOKUP(A250,'Contribution Allocation_Report'!$A$9:$D$314,4,FALSE)</f>
        <v>2.7096144614452487E-4</v>
      </c>
      <c r="E250" s="144">
        <v>2.6563134798836447E-4</v>
      </c>
      <c r="F250" s="92"/>
      <c r="G250" s="101">
        <f t="shared" si="45"/>
        <v>14572</v>
      </c>
      <c r="H250" s="86">
        <f t="shared" si="46"/>
        <v>2525</v>
      </c>
      <c r="I250" s="86">
        <f t="shared" si="53"/>
        <v>12047</v>
      </c>
      <c r="J250" s="86"/>
      <c r="K250" s="87"/>
      <c r="L250" s="107">
        <f t="shared" si="47"/>
        <v>2525</v>
      </c>
      <c r="M250" s="107">
        <f t="shared" si="48"/>
        <v>2525</v>
      </c>
      <c r="N250" s="107">
        <f t="shared" si="49"/>
        <v>2525</v>
      </c>
      <c r="O250" s="107">
        <f t="shared" si="50"/>
        <v>2525</v>
      </c>
      <c r="P250" s="108">
        <f t="shared" si="51"/>
        <v>1947</v>
      </c>
      <c r="Q250" s="108">
        <f t="shared" si="52"/>
        <v>0</v>
      </c>
    </row>
    <row r="251" spans="1:17">
      <c r="A251" s="12">
        <v>2740</v>
      </c>
      <c r="B251" s="13" t="s">
        <v>237</v>
      </c>
      <c r="C251" s="138">
        <f>VLOOKUP(A251,'Contribution Allocation_Report'!$A$9:$D$314,4,FALSE)</f>
        <v>3.271063449347173E-5</v>
      </c>
      <c r="E251" s="144">
        <v>2.7504555348740528E-5</v>
      </c>
      <c r="F251" s="92"/>
      <c r="G251" s="101">
        <f t="shared" si="45"/>
        <v>14233</v>
      </c>
      <c r="H251" s="86">
        <f t="shared" si="46"/>
        <v>2467</v>
      </c>
      <c r="I251" s="86">
        <f t="shared" si="53"/>
        <v>11766</v>
      </c>
      <c r="J251" s="86"/>
      <c r="K251" s="87"/>
      <c r="L251" s="107">
        <f t="shared" si="47"/>
        <v>2467</v>
      </c>
      <c r="M251" s="107">
        <f t="shared" si="48"/>
        <v>2467</v>
      </c>
      <c r="N251" s="107">
        <f t="shared" si="49"/>
        <v>2467</v>
      </c>
      <c r="O251" s="107">
        <f t="shared" si="50"/>
        <v>2467</v>
      </c>
      <c r="P251" s="108">
        <f t="shared" si="51"/>
        <v>1898</v>
      </c>
      <c r="Q251" s="108">
        <f t="shared" si="52"/>
        <v>0</v>
      </c>
    </row>
    <row r="252" spans="1:17">
      <c r="A252" s="10">
        <v>2346</v>
      </c>
      <c r="B252" s="11" t="s">
        <v>238</v>
      </c>
      <c r="C252" s="137">
        <f>VLOOKUP(A252,'Contribution Allocation_Report'!$A$9:$D$314,4,FALSE)</f>
        <v>1.7979050726326144E-4</v>
      </c>
      <c r="E252" s="144">
        <v>1.7207031985944866E-4</v>
      </c>
      <c r="F252" s="92"/>
      <c r="G252" s="101">
        <f t="shared" si="45"/>
        <v>21107</v>
      </c>
      <c r="H252" s="86">
        <f t="shared" si="46"/>
        <v>3658</v>
      </c>
      <c r="I252" s="86">
        <f t="shared" si="53"/>
        <v>17449</v>
      </c>
      <c r="J252" s="86"/>
      <c r="K252" s="87"/>
      <c r="L252" s="107">
        <f t="shared" si="47"/>
        <v>3658</v>
      </c>
      <c r="M252" s="107">
        <f t="shared" si="48"/>
        <v>3658</v>
      </c>
      <c r="N252" s="107">
        <f t="shared" si="49"/>
        <v>3658</v>
      </c>
      <c r="O252" s="107">
        <f t="shared" si="50"/>
        <v>3658</v>
      </c>
      <c r="P252" s="108">
        <f t="shared" si="51"/>
        <v>2817</v>
      </c>
      <c r="Q252" s="108">
        <f t="shared" si="52"/>
        <v>0</v>
      </c>
    </row>
    <row r="253" spans="1:17">
      <c r="A253" s="12">
        <v>21150</v>
      </c>
      <c r="B253" s="13" t="s">
        <v>239</v>
      </c>
      <c r="C253" s="138">
        <f>VLOOKUP(A253,'Contribution Allocation_Report'!$A$9:$D$314,4,FALSE)</f>
        <v>6.4637423079221185E-4</v>
      </c>
      <c r="E253" s="144">
        <v>7.7252232263980353E-4</v>
      </c>
      <c r="F253" s="92"/>
      <c r="G253" s="101">
        <f t="shared" si="45"/>
        <v>-344886</v>
      </c>
      <c r="H253" s="86">
        <f t="shared" si="46"/>
        <v>-59772</v>
      </c>
      <c r="I253" s="86">
        <f t="shared" si="53"/>
        <v>-285114</v>
      </c>
      <c r="J253" s="86"/>
      <c r="K253" s="87"/>
      <c r="L253" s="107">
        <f t="shared" si="47"/>
        <v>-59772</v>
      </c>
      <c r="M253" s="107">
        <f t="shared" si="48"/>
        <v>-59772</v>
      </c>
      <c r="N253" s="107">
        <f t="shared" si="49"/>
        <v>-59772</v>
      </c>
      <c r="O253" s="107">
        <f t="shared" si="50"/>
        <v>-59772</v>
      </c>
      <c r="P253" s="108">
        <f t="shared" si="51"/>
        <v>-46026</v>
      </c>
      <c r="Q253" s="108">
        <f t="shared" si="52"/>
        <v>0</v>
      </c>
    </row>
    <row r="254" spans="1:17">
      <c r="A254" s="12">
        <v>4520</v>
      </c>
      <c r="B254" s="43" t="s">
        <v>241</v>
      </c>
      <c r="C254" s="140">
        <f>VLOOKUP(A254,'Contribution Allocation_Report'!$A$9:$D$314,4,FALSE)</f>
        <v>2.5395722541820703E-5</v>
      </c>
      <c r="E254" s="144">
        <v>2.7433889919640139E-5</v>
      </c>
      <c r="F254" s="92"/>
      <c r="G254" s="101">
        <f t="shared" si="45"/>
        <v>-5572</v>
      </c>
      <c r="H254" s="86">
        <f t="shared" si="46"/>
        <v>-966</v>
      </c>
      <c r="I254" s="86">
        <f t="shared" si="53"/>
        <v>-4606</v>
      </c>
      <c r="J254" s="86"/>
      <c r="K254" s="87"/>
      <c r="L254" s="107">
        <f t="shared" si="47"/>
        <v>-966</v>
      </c>
      <c r="M254" s="107">
        <f t="shared" si="48"/>
        <v>-966</v>
      </c>
      <c r="N254" s="107">
        <f t="shared" si="49"/>
        <v>-966</v>
      </c>
      <c r="O254" s="107">
        <f t="shared" si="50"/>
        <v>-966</v>
      </c>
      <c r="P254" s="108">
        <f t="shared" si="51"/>
        <v>-742</v>
      </c>
      <c r="Q254" s="108">
        <f t="shared" si="52"/>
        <v>0</v>
      </c>
    </row>
    <row r="255" spans="1:17">
      <c r="A255" s="10">
        <v>9030</v>
      </c>
      <c r="B255" s="11" t="s">
        <v>242</v>
      </c>
      <c r="C255" s="137">
        <f>VLOOKUP(A255,'Contribution Allocation_Report'!$A$9:$D$314,4,FALSE)</f>
        <v>2.6222337087969979E-4</v>
      </c>
      <c r="E255" s="144">
        <v>2.6501891426949442E-4</v>
      </c>
      <c r="F255" s="92"/>
      <c r="G255" s="101">
        <f t="shared" si="45"/>
        <v>-7643</v>
      </c>
      <c r="H255" s="86">
        <f t="shared" si="46"/>
        <v>-1325</v>
      </c>
      <c r="I255" s="86">
        <f t="shared" si="53"/>
        <v>-6318</v>
      </c>
      <c r="J255" s="86"/>
      <c r="K255" s="87"/>
      <c r="L255" s="107">
        <f t="shared" si="47"/>
        <v>-1325</v>
      </c>
      <c r="M255" s="107">
        <f t="shared" si="48"/>
        <v>-1325</v>
      </c>
      <c r="N255" s="107">
        <f t="shared" si="49"/>
        <v>-1325</v>
      </c>
      <c r="O255" s="107">
        <f t="shared" si="50"/>
        <v>-1325</v>
      </c>
      <c r="P255" s="108">
        <f t="shared" si="51"/>
        <v>-1018</v>
      </c>
      <c r="Q255" s="108">
        <f t="shared" si="52"/>
        <v>0</v>
      </c>
    </row>
    <row r="256" spans="1:17">
      <c r="A256" s="183">
        <v>20265</v>
      </c>
      <c r="B256" s="184" t="s">
        <v>243</v>
      </c>
      <c r="C256" s="140">
        <f>VLOOKUP(A256,'Contribution Allocation_Report'!$A$9:$D$314,4,FALSE)</f>
        <v>3.7362092617565957E-4</v>
      </c>
      <c r="E256" s="144">
        <v>3.8168753771423763E-4</v>
      </c>
      <c r="F256" s="92"/>
      <c r="G256" s="101">
        <f t="shared" si="45"/>
        <v>-22054</v>
      </c>
      <c r="H256" s="86">
        <f t="shared" si="46"/>
        <v>-3822</v>
      </c>
      <c r="I256" s="86">
        <f t="shared" si="53"/>
        <v>-18232</v>
      </c>
      <c r="J256" s="86"/>
      <c r="K256" s="87"/>
      <c r="L256" s="107">
        <f t="shared" si="47"/>
        <v>-3822</v>
      </c>
      <c r="M256" s="107">
        <f t="shared" si="48"/>
        <v>-3822</v>
      </c>
      <c r="N256" s="107">
        <f t="shared" si="49"/>
        <v>-3822</v>
      </c>
      <c r="O256" s="107">
        <f t="shared" si="50"/>
        <v>-3822</v>
      </c>
      <c r="P256" s="108">
        <f t="shared" si="51"/>
        <v>-2944</v>
      </c>
      <c r="Q256" s="108">
        <f t="shared" si="52"/>
        <v>0</v>
      </c>
    </row>
    <row r="257" spans="1:17">
      <c r="A257" s="10">
        <v>20307</v>
      </c>
      <c r="B257" s="11" t="s">
        <v>244</v>
      </c>
      <c r="C257" s="137">
        <f>VLOOKUP(A257,'Contribution Allocation_Report'!$A$9:$D$314,4,FALSE)</f>
        <v>2.9487501414775496E-4</v>
      </c>
      <c r="E257" s="144">
        <v>3.2084460325880221E-4</v>
      </c>
      <c r="F257" s="92"/>
      <c r="G257" s="101">
        <f t="shared" si="45"/>
        <v>-71000</v>
      </c>
      <c r="H257" s="86">
        <f t="shared" si="46"/>
        <v>-12305</v>
      </c>
      <c r="I257" s="86">
        <f t="shared" si="53"/>
        <v>-58695</v>
      </c>
      <c r="J257" s="86"/>
      <c r="K257" s="87"/>
      <c r="L257" s="107">
        <f t="shared" si="47"/>
        <v>-12305</v>
      </c>
      <c r="M257" s="107">
        <f t="shared" si="48"/>
        <v>-12305</v>
      </c>
      <c r="N257" s="107">
        <f t="shared" si="49"/>
        <v>-12305</v>
      </c>
      <c r="O257" s="107">
        <f t="shared" si="50"/>
        <v>-12305</v>
      </c>
      <c r="P257" s="108">
        <f t="shared" si="51"/>
        <v>-9475</v>
      </c>
      <c r="Q257" s="108">
        <f t="shared" si="52"/>
        <v>0</v>
      </c>
    </row>
    <row r="258" spans="1:17">
      <c r="A258" s="12">
        <v>3320</v>
      </c>
      <c r="B258" s="13" t="s">
        <v>245</v>
      </c>
      <c r="C258" s="138">
        <f>VLOOKUP(A258,'Contribution Allocation_Report'!$A$9:$D$314,4,FALSE)</f>
        <v>1.9814194010002949E-3</v>
      </c>
      <c r="E258" s="144">
        <v>1.9874180831623905E-3</v>
      </c>
      <c r="F258" s="92"/>
      <c r="G258" s="101">
        <f t="shared" si="45"/>
        <v>-16400</v>
      </c>
      <c r="H258" s="86">
        <f t="shared" si="46"/>
        <v>-2842</v>
      </c>
      <c r="I258" s="86">
        <f t="shared" si="53"/>
        <v>-13558</v>
      </c>
      <c r="J258" s="86"/>
      <c r="K258" s="87"/>
      <c r="L258" s="107">
        <f t="shared" si="47"/>
        <v>-2842</v>
      </c>
      <c r="M258" s="107">
        <f t="shared" si="48"/>
        <v>-2842</v>
      </c>
      <c r="N258" s="107">
        <f t="shared" si="49"/>
        <v>-2842</v>
      </c>
      <c r="O258" s="107">
        <f t="shared" si="50"/>
        <v>-2842</v>
      </c>
      <c r="P258" s="108">
        <f t="shared" si="51"/>
        <v>-2190</v>
      </c>
      <c r="Q258" s="108">
        <f t="shared" si="52"/>
        <v>0</v>
      </c>
    </row>
    <row r="259" spans="1:17">
      <c r="A259" s="10">
        <v>20415</v>
      </c>
      <c r="B259" s="11" t="s">
        <v>246</v>
      </c>
      <c r="C259" s="137">
        <f>VLOOKUP(A259,'Contribution Allocation_Report'!$A$9:$D$314,4,FALSE)</f>
        <v>2.3576580628038136E-4</v>
      </c>
      <c r="E259" s="144">
        <v>2.357320197645552E-4</v>
      </c>
      <c r="F259" s="92"/>
      <c r="G259" s="101">
        <f t="shared" si="45"/>
        <v>92</v>
      </c>
      <c r="H259" s="86">
        <f t="shared" si="46"/>
        <v>16</v>
      </c>
      <c r="I259" s="86">
        <f t="shared" si="53"/>
        <v>76</v>
      </c>
      <c r="J259" s="86"/>
      <c r="K259" s="87"/>
      <c r="L259" s="107">
        <f t="shared" si="47"/>
        <v>16</v>
      </c>
      <c r="M259" s="107">
        <f t="shared" si="48"/>
        <v>16</v>
      </c>
      <c r="N259" s="107">
        <f t="shared" si="49"/>
        <v>16</v>
      </c>
      <c r="O259" s="107">
        <f t="shared" si="50"/>
        <v>16</v>
      </c>
      <c r="P259" s="108">
        <f t="shared" si="51"/>
        <v>12</v>
      </c>
      <c r="Q259" s="108">
        <f t="shared" si="52"/>
        <v>0</v>
      </c>
    </row>
    <row r="260" spans="1:17">
      <c r="A260" s="12">
        <v>20435</v>
      </c>
      <c r="B260" s="13" t="s">
        <v>407</v>
      </c>
      <c r="C260" s="138">
        <f>VLOOKUP(A260,'Contribution Allocation_Report'!$A$9:$D$314,4,FALSE)</f>
        <v>2.3815495090975125E-4</v>
      </c>
      <c r="E260" s="144">
        <v>2.6480691798219327E-4</v>
      </c>
      <c r="F260" s="92"/>
      <c r="G260" s="101">
        <f t="shared" si="45"/>
        <v>-72866</v>
      </c>
      <c r="H260" s="86">
        <f t="shared" si="46"/>
        <v>-12628</v>
      </c>
      <c r="I260" s="86">
        <f t="shared" si="53"/>
        <v>-60238</v>
      </c>
      <c r="J260" s="86"/>
      <c r="K260" s="87"/>
      <c r="L260" s="107">
        <f t="shared" si="47"/>
        <v>-12628</v>
      </c>
      <c r="M260" s="107">
        <f t="shared" si="48"/>
        <v>-12628</v>
      </c>
      <c r="N260" s="107">
        <f t="shared" si="49"/>
        <v>-12628</v>
      </c>
      <c r="O260" s="107">
        <f t="shared" si="50"/>
        <v>-12628</v>
      </c>
      <c r="P260" s="108">
        <f t="shared" si="51"/>
        <v>-9726</v>
      </c>
      <c r="Q260" s="108">
        <f t="shared" si="52"/>
        <v>0</v>
      </c>
    </row>
    <row r="261" spans="1:17">
      <c r="A261" s="10">
        <v>20062</v>
      </c>
      <c r="B261" s="11" t="s">
        <v>247</v>
      </c>
      <c r="C261" s="137">
        <f>VLOOKUP(A261,'Contribution Allocation_Report'!$A$9:$D$314,4,FALSE)</f>
        <v>2.6025306395078733E-3</v>
      </c>
      <c r="E261" s="144">
        <v>2.6255269079389085E-3</v>
      </c>
      <c r="F261" s="92"/>
      <c r="G261" s="101">
        <f t="shared" ref="G261:G310" si="56">ROUND((E261-C261)*$G$318,0)</f>
        <v>-62871</v>
      </c>
      <c r="H261" s="86">
        <f t="shared" si="46"/>
        <v>-10896</v>
      </c>
      <c r="I261" s="86">
        <f t="shared" si="53"/>
        <v>-51975</v>
      </c>
      <c r="J261" s="86"/>
      <c r="K261" s="87"/>
      <c r="L261" s="107">
        <f t="shared" si="47"/>
        <v>-10896</v>
      </c>
      <c r="M261" s="107">
        <f t="shared" si="48"/>
        <v>-10896</v>
      </c>
      <c r="N261" s="107">
        <f t="shared" si="49"/>
        <v>-10896</v>
      </c>
      <c r="O261" s="107">
        <f t="shared" si="50"/>
        <v>-10896</v>
      </c>
      <c r="P261" s="108">
        <f t="shared" si="51"/>
        <v>-8391</v>
      </c>
      <c r="Q261" s="108">
        <f t="shared" si="52"/>
        <v>0</v>
      </c>
    </row>
    <row r="262" spans="1:17">
      <c r="A262" s="12">
        <v>3410</v>
      </c>
      <c r="B262" s="13" t="s">
        <v>457</v>
      </c>
      <c r="C262" s="138">
        <f>VLOOKUP(A262,'Contribution Allocation_Report'!$A$9:$D$314,4,FALSE)</f>
        <v>7.3436701740415918E-5</v>
      </c>
      <c r="E262" s="144">
        <v>3.470457740263578E-5</v>
      </c>
      <c r="F262" s="92"/>
      <c r="G262" s="101">
        <f t="shared" si="56"/>
        <v>105893</v>
      </c>
      <c r="H262" s="86">
        <f t="shared" ref="H262:H310" si="57">ROUND(G262/5.77,0)</f>
        <v>18352</v>
      </c>
      <c r="I262" s="86">
        <f t="shared" si="53"/>
        <v>87541</v>
      </c>
      <c r="J262" s="86"/>
      <c r="K262" s="87"/>
      <c r="L262" s="107">
        <f t="shared" si="47"/>
        <v>18352</v>
      </c>
      <c r="M262" s="107">
        <f t="shared" si="48"/>
        <v>18352</v>
      </c>
      <c r="N262" s="107">
        <f t="shared" si="49"/>
        <v>18352</v>
      </c>
      <c r="O262" s="107">
        <f t="shared" si="50"/>
        <v>18352</v>
      </c>
      <c r="P262" s="108">
        <f t="shared" si="51"/>
        <v>14133</v>
      </c>
      <c r="Q262" s="108">
        <f t="shared" si="52"/>
        <v>0</v>
      </c>
    </row>
    <row r="263" spans="1:17">
      <c r="A263" s="10">
        <v>6020</v>
      </c>
      <c r="B263" s="11" t="s">
        <v>248</v>
      </c>
      <c r="C263" s="137">
        <f>VLOOKUP(A263,'Contribution Allocation_Report'!$A$9:$D$314,4,FALSE)</f>
        <v>5.3982870378676249E-4</v>
      </c>
      <c r="E263" s="144">
        <v>5.5583071016063103E-4</v>
      </c>
      <c r="F263" s="92"/>
      <c r="G263" s="101">
        <f t="shared" si="56"/>
        <v>-43749</v>
      </c>
      <c r="H263" s="86">
        <f t="shared" si="57"/>
        <v>-7582</v>
      </c>
      <c r="I263" s="86">
        <f t="shared" si="53"/>
        <v>-36167</v>
      </c>
      <c r="J263" s="86"/>
      <c r="K263" s="87"/>
      <c r="L263" s="107">
        <f t="shared" ref="L263:L310" si="58">+H263</f>
        <v>-7582</v>
      </c>
      <c r="M263" s="107">
        <f t="shared" ref="M263:M310" si="59">+L263</f>
        <v>-7582</v>
      </c>
      <c r="N263" s="107">
        <f t="shared" ref="N263:N310" si="60">+M263</f>
        <v>-7582</v>
      </c>
      <c r="O263" s="107">
        <f t="shared" ref="O263:O310" si="61">+N263</f>
        <v>-7582</v>
      </c>
      <c r="P263" s="108">
        <f t="shared" ref="P263:P310" si="62">I263-SUM(L263:O263)</f>
        <v>-5839</v>
      </c>
      <c r="Q263" s="108">
        <f t="shared" si="52"/>
        <v>0</v>
      </c>
    </row>
    <row r="264" spans="1:17">
      <c r="A264" s="12">
        <v>2394</v>
      </c>
      <c r="B264" s="13" t="s">
        <v>249</v>
      </c>
      <c r="C264" s="138">
        <f>VLOOKUP(A264,'Contribution Allocation_Report'!$A$9:$D$314,4,FALSE)</f>
        <v>3.713128944812374E-4</v>
      </c>
      <c r="E264" s="144">
        <v>3.4688088802512353E-4</v>
      </c>
      <c r="F264" s="92"/>
      <c r="G264" s="101">
        <f t="shared" si="56"/>
        <v>66796</v>
      </c>
      <c r="H264" s="86">
        <f t="shared" si="57"/>
        <v>11576</v>
      </c>
      <c r="I264" s="86">
        <f t="shared" si="53"/>
        <v>55220</v>
      </c>
      <c r="J264" s="86"/>
      <c r="K264" s="87"/>
      <c r="L264" s="107">
        <f t="shared" si="58"/>
        <v>11576</v>
      </c>
      <c r="M264" s="107">
        <f t="shared" si="59"/>
        <v>11576</v>
      </c>
      <c r="N264" s="107">
        <f t="shared" si="60"/>
        <v>11576</v>
      </c>
      <c r="O264" s="107">
        <f t="shared" si="61"/>
        <v>11576</v>
      </c>
      <c r="P264" s="108">
        <f t="shared" si="62"/>
        <v>8916</v>
      </c>
      <c r="Q264" s="108">
        <f t="shared" si="52"/>
        <v>0</v>
      </c>
    </row>
    <row r="265" spans="1:17">
      <c r="A265" s="10">
        <v>5015</v>
      </c>
      <c r="B265" s="11" t="s">
        <v>250</v>
      </c>
      <c r="C265" s="137">
        <f>VLOOKUP(A265,'Contribution Allocation_Report'!$A$9:$D$314,4,FALSE)</f>
        <v>7.5363502640583672E-4</v>
      </c>
      <c r="E265" s="144">
        <v>7.6520452487074096E-4</v>
      </c>
      <c r="F265" s="92"/>
      <c r="G265" s="101">
        <f t="shared" si="56"/>
        <v>-31631</v>
      </c>
      <c r="H265" s="86">
        <f t="shared" si="57"/>
        <v>-5482</v>
      </c>
      <c r="I265" s="86">
        <f t="shared" si="53"/>
        <v>-26149</v>
      </c>
      <c r="J265" s="86"/>
      <c r="K265" s="87"/>
      <c r="L265" s="107">
        <f t="shared" si="58"/>
        <v>-5482</v>
      </c>
      <c r="M265" s="107">
        <f t="shared" si="59"/>
        <v>-5482</v>
      </c>
      <c r="N265" s="107">
        <f t="shared" si="60"/>
        <v>-5482</v>
      </c>
      <c r="O265" s="107">
        <f t="shared" si="61"/>
        <v>-5482</v>
      </c>
      <c r="P265" s="108">
        <f t="shared" si="62"/>
        <v>-4221</v>
      </c>
      <c r="Q265" s="108">
        <f t="shared" ref="Q265:Q309" si="63">+I265-SUM(L265:P265)</f>
        <v>0</v>
      </c>
    </row>
    <row r="266" spans="1:17">
      <c r="A266" s="12">
        <v>29408</v>
      </c>
      <c r="B266" s="13" t="s">
        <v>251</v>
      </c>
      <c r="C266" s="138">
        <f>VLOOKUP(A266,'Contribution Allocation_Report'!$A$9:$D$314,4,FALSE)</f>
        <v>5.7657286331809022E-4</v>
      </c>
      <c r="E266" s="144">
        <v>5.6971254112168543E-4</v>
      </c>
      <c r="F266" s="92"/>
      <c r="G266" s="101">
        <f t="shared" si="56"/>
        <v>18756</v>
      </c>
      <c r="H266" s="86">
        <f t="shared" si="57"/>
        <v>3251</v>
      </c>
      <c r="I266" s="86">
        <f t="shared" ref="I266:I310" si="64">G266-H266</f>
        <v>15505</v>
      </c>
      <c r="J266" s="86"/>
      <c r="K266" s="87"/>
      <c r="L266" s="107">
        <f t="shared" si="58"/>
        <v>3251</v>
      </c>
      <c r="M266" s="107">
        <f t="shared" si="59"/>
        <v>3251</v>
      </c>
      <c r="N266" s="107">
        <f t="shared" si="60"/>
        <v>3251</v>
      </c>
      <c r="O266" s="107">
        <f t="shared" si="61"/>
        <v>3251</v>
      </c>
      <c r="P266" s="108">
        <f t="shared" si="62"/>
        <v>2501</v>
      </c>
      <c r="Q266" s="108">
        <f t="shared" si="63"/>
        <v>0</v>
      </c>
    </row>
    <row r="267" spans="1:17">
      <c r="A267" s="10">
        <v>2413</v>
      </c>
      <c r="B267" s="11" t="s">
        <v>252</v>
      </c>
      <c r="C267" s="137">
        <f>VLOOKUP(A267,'Contribution Allocation_Report'!$A$9:$D$314,4,FALSE)</f>
        <v>7.5051586536193702E-5</v>
      </c>
      <c r="E267" s="144">
        <v>1.0108297047093506E-4</v>
      </c>
      <c r="F267" s="92"/>
      <c r="G267" s="101">
        <f t="shared" si="56"/>
        <v>-71169</v>
      </c>
      <c r="H267" s="86">
        <f t="shared" si="57"/>
        <v>-12334</v>
      </c>
      <c r="I267" s="86">
        <f t="shared" si="64"/>
        <v>-58835</v>
      </c>
      <c r="J267" s="86"/>
      <c r="K267" s="87"/>
      <c r="L267" s="107">
        <f t="shared" si="58"/>
        <v>-12334</v>
      </c>
      <c r="M267" s="107">
        <f t="shared" si="59"/>
        <v>-12334</v>
      </c>
      <c r="N267" s="107">
        <f t="shared" si="60"/>
        <v>-12334</v>
      </c>
      <c r="O267" s="107">
        <f t="shared" si="61"/>
        <v>-12334</v>
      </c>
      <c r="P267" s="108">
        <f t="shared" si="62"/>
        <v>-9499</v>
      </c>
      <c r="Q267" s="108">
        <f t="shared" si="63"/>
        <v>0</v>
      </c>
    </row>
    <row r="268" spans="1:17">
      <c r="A268" s="12">
        <v>1398</v>
      </c>
      <c r="B268" s="13" t="s">
        <v>253</v>
      </c>
      <c r="C268" s="138">
        <f>VLOOKUP(A268,'Contribution Allocation_Report'!$A$9:$D$314,4,FALSE)</f>
        <v>3.9804329349810733E-4</v>
      </c>
      <c r="E268" s="144">
        <v>3.4406212257545246E-4</v>
      </c>
      <c r="F268" s="92"/>
      <c r="G268" s="101">
        <f t="shared" si="56"/>
        <v>147583</v>
      </c>
      <c r="H268" s="86">
        <f t="shared" si="57"/>
        <v>25578</v>
      </c>
      <c r="I268" s="86">
        <f t="shared" si="64"/>
        <v>122005</v>
      </c>
      <c r="J268" s="86"/>
      <c r="K268" s="87"/>
      <c r="L268" s="107">
        <f t="shared" si="58"/>
        <v>25578</v>
      </c>
      <c r="M268" s="107">
        <f t="shared" si="59"/>
        <v>25578</v>
      </c>
      <c r="N268" s="107">
        <f t="shared" si="60"/>
        <v>25578</v>
      </c>
      <c r="O268" s="107">
        <f t="shared" si="61"/>
        <v>25578</v>
      </c>
      <c r="P268" s="108">
        <f t="shared" si="62"/>
        <v>19693</v>
      </c>
      <c r="Q268" s="108">
        <f t="shared" si="63"/>
        <v>0</v>
      </c>
    </row>
    <row r="269" spans="1:17">
      <c r="A269" s="10">
        <v>2366</v>
      </c>
      <c r="B269" s="11" t="s">
        <v>254</v>
      </c>
      <c r="C269" s="137">
        <f>VLOOKUP(A269,'Contribution Allocation_Report'!$A$9:$D$314,4,FALSE)</f>
        <v>1.7478362700603257E-4</v>
      </c>
      <c r="E269" s="144">
        <v>2.127500518782396E-4</v>
      </c>
      <c r="F269" s="92"/>
      <c r="G269" s="101">
        <f t="shared" si="56"/>
        <v>-103799</v>
      </c>
      <c r="H269" s="86">
        <f t="shared" si="57"/>
        <v>-17989</v>
      </c>
      <c r="I269" s="86">
        <f t="shared" si="64"/>
        <v>-85810</v>
      </c>
      <c r="J269" s="86"/>
      <c r="K269" s="87"/>
      <c r="L269" s="107">
        <f t="shared" si="58"/>
        <v>-17989</v>
      </c>
      <c r="M269" s="107">
        <f t="shared" si="59"/>
        <v>-17989</v>
      </c>
      <c r="N269" s="107">
        <f t="shared" si="60"/>
        <v>-17989</v>
      </c>
      <c r="O269" s="107">
        <f t="shared" si="61"/>
        <v>-17989</v>
      </c>
      <c r="P269" s="108">
        <f t="shared" si="62"/>
        <v>-13854</v>
      </c>
      <c r="Q269" s="108">
        <f t="shared" si="63"/>
        <v>0</v>
      </c>
    </row>
    <row r="270" spans="1:17">
      <c r="A270" s="12">
        <v>7421</v>
      </c>
      <c r="B270" s="13" t="s">
        <v>255</v>
      </c>
      <c r="C270" s="138">
        <f>VLOOKUP(A270,'Contribution Allocation_Report'!$A$9:$D$314,4,FALSE)</f>
        <v>2.1281821959334709E-4</v>
      </c>
      <c r="E270" s="144">
        <v>1.9256329429856166E-4</v>
      </c>
      <c r="F270" s="92"/>
      <c r="G270" s="101">
        <f t="shared" si="56"/>
        <v>55376</v>
      </c>
      <c r="H270" s="86">
        <f t="shared" si="57"/>
        <v>9597</v>
      </c>
      <c r="I270" s="86">
        <f t="shared" si="64"/>
        <v>45779</v>
      </c>
      <c r="J270" s="86"/>
      <c r="K270" s="87"/>
      <c r="L270" s="107">
        <f t="shared" si="58"/>
        <v>9597</v>
      </c>
      <c r="M270" s="107">
        <f t="shared" si="59"/>
        <v>9597</v>
      </c>
      <c r="N270" s="107">
        <f t="shared" si="60"/>
        <v>9597</v>
      </c>
      <c r="O270" s="107">
        <f t="shared" si="61"/>
        <v>9597</v>
      </c>
      <c r="P270" s="108">
        <f t="shared" si="62"/>
        <v>7391</v>
      </c>
      <c r="Q270" s="108">
        <f t="shared" si="63"/>
        <v>0</v>
      </c>
    </row>
    <row r="271" spans="1:17">
      <c r="A271" s="10">
        <v>1425</v>
      </c>
      <c r="B271" s="11" t="s">
        <v>426</v>
      </c>
      <c r="C271" s="137">
        <f>VLOOKUP(A271,'Contribution Allocation_Report'!$A$9:$D$314,4,FALSE)</f>
        <v>3.7270656218170315E-4</v>
      </c>
      <c r="E271" s="144">
        <v>3.2136281640553839E-4</v>
      </c>
      <c r="F271" s="92"/>
      <c r="G271" s="101">
        <f t="shared" si="56"/>
        <v>140373</v>
      </c>
      <c r="H271" s="86">
        <f t="shared" si="57"/>
        <v>24328</v>
      </c>
      <c r="I271" s="86">
        <f t="shared" si="64"/>
        <v>116045</v>
      </c>
      <c r="J271" s="86"/>
      <c r="K271" s="87"/>
      <c r="L271" s="107">
        <f t="shared" si="58"/>
        <v>24328</v>
      </c>
      <c r="M271" s="107">
        <f t="shared" si="59"/>
        <v>24328</v>
      </c>
      <c r="N271" s="107">
        <f t="shared" si="60"/>
        <v>24328</v>
      </c>
      <c r="O271" s="107">
        <f t="shared" si="61"/>
        <v>24328</v>
      </c>
      <c r="P271" s="108">
        <f t="shared" si="62"/>
        <v>18733</v>
      </c>
      <c r="Q271" s="108">
        <f t="shared" si="63"/>
        <v>0</v>
      </c>
    </row>
    <row r="272" spans="1:17">
      <c r="A272" s="12">
        <v>2370</v>
      </c>
      <c r="B272" s="13" t="s">
        <v>256</v>
      </c>
      <c r="C272" s="138">
        <f>VLOOKUP(A272,'Contribution Allocation_Report'!$A$9:$D$314,4,FALSE)</f>
        <v>2.8786243222636375E-4</v>
      </c>
      <c r="E272" s="144">
        <v>2.9944082995572865E-4</v>
      </c>
      <c r="F272" s="92"/>
      <c r="G272" s="101">
        <f t="shared" si="56"/>
        <v>-31655</v>
      </c>
      <c r="H272" s="86">
        <f t="shared" si="57"/>
        <v>-5486</v>
      </c>
      <c r="I272" s="86">
        <f t="shared" si="64"/>
        <v>-26169</v>
      </c>
      <c r="J272" s="86"/>
      <c r="K272" s="87"/>
      <c r="L272" s="107">
        <f t="shared" si="58"/>
        <v>-5486</v>
      </c>
      <c r="M272" s="107">
        <f t="shared" si="59"/>
        <v>-5486</v>
      </c>
      <c r="N272" s="107">
        <f t="shared" si="60"/>
        <v>-5486</v>
      </c>
      <c r="O272" s="107">
        <f t="shared" si="61"/>
        <v>-5486</v>
      </c>
      <c r="P272" s="108">
        <f t="shared" si="62"/>
        <v>-4225</v>
      </c>
      <c r="Q272" s="108">
        <f t="shared" si="63"/>
        <v>0</v>
      </c>
    </row>
    <row r="273" spans="1:17">
      <c r="A273" s="10">
        <v>1343</v>
      </c>
      <c r="B273" s="11" t="s">
        <v>257</v>
      </c>
      <c r="C273" s="137">
        <f>VLOOKUP(A273,'Contribution Allocation_Report'!$A$9:$D$314,4,FALSE)</f>
        <v>3.4788600408769372E-4</v>
      </c>
      <c r="E273" s="144">
        <v>3.9564003410439238E-4</v>
      </c>
      <c r="F273" s="92"/>
      <c r="G273" s="101">
        <f t="shared" si="56"/>
        <v>-130558</v>
      </c>
      <c r="H273" s="86">
        <f t="shared" si="57"/>
        <v>-22627</v>
      </c>
      <c r="I273" s="86">
        <f t="shared" si="64"/>
        <v>-107931</v>
      </c>
      <c r="J273" s="86"/>
      <c r="K273" s="87"/>
      <c r="L273" s="107">
        <f t="shared" si="58"/>
        <v>-22627</v>
      </c>
      <c r="M273" s="107">
        <f t="shared" si="59"/>
        <v>-22627</v>
      </c>
      <c r="N273" s="107">
        <f t="shared" si="60"/>
        <v>-22627</v>
      </c>
      <c r="O273" s="107">
        <f t="shared" si="61"/>
        <v>-22627</v>
      </c>
      <c r="P273" s="108">
        <f t="shared" si="62"/>
        <v>-17423</v>
      </c>
      <c r="Q273" s="108">
        <f t="shared" si="63"/>
        <v>0</v>
      </c>
    </row>
    <row r="274" spans="1:17">
      <c r="A274" s="12">
        <v>2790</v>
      </c>
      <c r="B274" s="13" t="s">
        <v>258</v>
      </c>
      <c r="C274" s="138">
        <f>VLOOKUP(A274,'Contribution Allocation_Report'!$A$9:$D$314,4,FALSE)</f>
        <v>3.7341445688670168E-5</v>
      </c>
      <c r="E274" s="144">
        <v>3.8143628285521405E-5</v>
      </c>
      <c r="F274" s="92"/>
      <c r="G274" s="101">
        <f t="shared" si="56"/>
        <v>-2193</v>
      </c>
      <c r="H274" s="86">
        <f t="shared" si="57"/>
        <v>-380</v>
      </c>
      <c r="I274" s="86">
        <f t="shared" si="64"/>
        <v>-1813</v>
      </c>
      <c r="J274" s="86"/>
      <c r="K274" s="87"/>
      <c r="L274" s="107">
        <f t="shared" si="58"/>
        <v>-380</v>
      </c>
      <c r="M274" s="107">
        <f t="shared" si="59"/>
        <v>-380</v>
      </c>
      <c r="N274" s="107">
        <f t="shared" si="60"/>
        <v>-380</v>
      </c>
      <c r="O274" s="107">
        <f t="shared" si="61"/>
        <v>-380</v>
      </c>
      <c r="P274" s="108">
        <f t="shared" si="62"/>
        <v>-293</v>
      </c>
      <c r="Q274" s="108">
        <f t="shared" si="63"/>
        <v>0</v>
      </c>
    </row>
    <row r="275" spans="1:17">
      <c r="A275" s="10">
        <v>3330</v>
      </c>
      <c r="B275" s="11" t="s">
        <v>259</v>
      </c>
      <c r="C275" s="137">
        <f>VLOOKUP(A275,'Contribution Allocation_Report'!$A$9:$D$314,4,FALSE)</f>
        <v>8.1103348873613063E-4</v>
      </c>
      <c r="E275" s="144">
        <v>8.5385037982000744E-4</v>
      </c>
      <c r="F275" s="92"/>
      <c r="G275" s="101">
        <f t="shared" si="56"/>
        <v>-117060</v>
      </c>
      <c r="H275" s="86">
        <f t="shared" si="57"/>
        <v>-20288</v>
      </c>
      <c r="I275" s="86">
        <f t="shared" si="64"/>
        <v>-96772</v>
      </c>
      <c r="J275" s="86"/>
      <c r="K275" s="87"/>
      <c r="L275" s="107">
        <f t="shared" si="58"/>
        <v>-20288</v>
      </c>
      <c r="M275" s="107">
        <f t="shared" si="59"/>
        <v>-20288</v>
      </c>
      <c r="N275" s="107">
        <f t="shared" si="60"/>
        <v>-20288</v>
      </c>
      <c r="O275" s="107">
        <f t="shared" si="61"/>
        <v>-20288</v>
      </c>
      <c r="P275" s="108">
        <f t="shared" si="62"/>
        <v>-15620</v>
      </c>
      <c r="Q275" s="108">
        <f t="shared" si="63"/>
        <v>0</v>
      </c>
    </row>
    <row r="276" spans="1:17">
      <c r="A276" s="12">
        <v>2080</v>
      </c>
      <c r="B276" s="13" t="s">
        <v>260</v>
      </c>
      <c r="C276" s="138">
        <f>VLOOKUP(A276,'Contribution Allocation_Report'!$A$9:$D$314,4,FALSE)</f>
        <v>9.8721815734580608E-4</v>
      </c>
      <c r="E276" s="144">
        <v>1.0332384974485187E-3</v>
      </c>
      <c r="F276" s="92"/>
      <c r="G276" s="101">
        <f t="shared" si="56"/>
        <v>-125818</v>
      </c>
      <c r="H276" s="86">
        <f t="shared" si="57"/>
        <v>-21806</v>
      </c>
      <c r="I276" s="86">
        <f t="shared" si="64"/>
        <v>-104012</v>
      </c>
      <c r="J276" s="86"/>
      <c r="K276" s="87"/>
      <c r="L276" s="107">
        <f t="shared" si="58"/>
        <v>-21806</v>
      </c>
      <c r="M276" s="107">
        <f t="shared" si="59"/>
        <v>-21806</v>
      </c>
      <c r="N276" s="107">
        <f t="shared" si="60"/>
        <v>-21806</v>
      </c>
      <c r="O276" s="107">
        <f t="shared" si="61"/>
        <v>-21806</v>
      </c>
      <c r="P276" s="108">
        <f t="shared" si="62"/>
        <v>-16788</v>
      </c>
      <c r="Q276" s="108">
        <f t="shared" si="63"/>
        <v>0</v>
      </c>
    </row>
    <row r="277" spans="1:17">
      <c r="A277" s="10">
        <v>4290</v>
      </c>
      <c r="B277" s="11" t="s">
        <v>261</v>
      </c>
      <c r="C277" s="137">
        <f>VLOOKUP(A277,'Contribution Allocation_Report'!$A$9:$D$314,4,FALSE)</f>
        <v>6.04379852198812E-4</v>
      </c>
      <c r="E277" s="144">
        <v>4.242124226039832E-4</v>
      </c>
      <c r="F277" s="92"/>
      <c r="G277" s="101">
        <f t="shared" si="56"/>
        <v>492573</v>
      </c>
      <c r="H277" s="86">
        <f t="shared" si="57"/>
        <v>85368</v>
      </c>
      <c r="I277" s="86">
        <f t="shared" si="64"/>
        <v>407205</v>
      </c>
      <c r="J277" s="86"/>
      <c r="K277" s="87"/>
      <c r="L277" s="107">
        <f t="shared" si="58"/>
        <v>85368</v>
      </c>
      <c r="M277" s="107">
        <f t="shared" si="59"/>
        <v>85368</v>
      </c>
      <c r="N277" s="107">
        <f t="shared" si="60"/>
        <v>85368</v>
      </c>
      <c r="O277" s="107">
        <f t="shared" si="61"/>
        <v>85368</v>
      </c>
      <c r="P277" s="108">
        <f t="shared" si="62"/>
        <v>65733</v>
      </c>
      <c r="Q277" s="108">
        <f t="shared" si="63"/>
        <v>0</v>
      </c>
    </row>
    <row r="278" spans="1:17">
      <c r="A278" s="12">
        <v>2270</v>
      </c>
      <c r="B278" s="13" t="s">
        <v>262</v>
      </c>
      <c r="C278" s="138">
        <f>VLOOKUP(A278,'Contribution Allocation_Report'!$A$9:$D$314,4,FALSE)</f>
        <v>1.4113650680907325E-5</v>
      </c>
      <c r="E278" s="144">
        <v>1.4588485252058208E-5</v>
      </c>
      <c r="F278" s="92"/>
      <c r="G278" s="101">
        <f t="shared" si="56"/>
        <v>-1298</v>
      </c>
      <c r="H278" s="86">
        <f t="shared" si="57"/>
        <v>-225</v>
      </c>
      <c r="I278" s="86">
        <f t="shared" si="64"/>
        <v>-1073</v>
      </c>
      <c r="J278" s="86"/>
      <c r="K278" s="87"/>
      <c r="L278" s="107">
        <f t="shared" si="58"/>
        <v>-225</v>
      </c>
      <c r="M278" s="107">
        <f t="shared" si="59"/>
        <v>-225</v>
      </c>
      <c r="N278" s="107">
        <f t="shared" si="60"/>
        <v>-225</v>
      </c>
      <c r="O278" s="107">
        <f t="shared" si="61"/>
        <v>-225</v>
      </c>
      <c r="P278" s="108">
        <f t="shared" si="62"/>
        <v>-173</v>
      </c>
      <c r="Q278" s="108">
        <f t="shared" si="63"/>
        <v>0</v>
      </c>
    </row>
    <row r="279" spans="1:17">
      <c r="A279" s="10">
        <v>2300</v>
      </c>
      <c r="B279" s="11" t="s">
        <v>263</v>
      </c>
      <c r="C279" s="137">
        <f>VLOOKUP(A279,'Contribution Allocation_Report'!$A$9:$D$314,4,FALSE)</f>
        <v>1.3908656172584847E-4</v>
      </c>
      <c r="E279" s="144">
        <v>1.6300158979156532E-4</v>
      </c>
      <c r="F279" s="92"/>
      <c r="G279" s="101">
        <f t="shared" si="56"/>
        <v>-65383</v>
      </c>
      <c r="H279" s="86">
        <f t="shared" si="57"/>
        <v>-11332</v>
      </c>
      <c r="I279" s="86">
        <f t="shared" si="64"/>
        <v>-54051</v>
      </c>
      <c r="J279" s="86"/>
      <c r="K279" s="87"/>
      <c r="L279" s="107">
        <f t="shared" si="58"/>
        <v>-11332</v>
      </c>
      <c r="M279" s="107">
        <f t="shared" si="59"/>
        <v>-11332</v>
      </c>
      <c r="N279" s="107">
        <f t="shared" si="60"/>
        <v>-11332</v>
      </c>
      <c r="O279" s="107">
        <f t="shared" si="61"/>
        <v>-11332</v>
      </c>
      <c r="P279" s="108">
        <f t="shared" si="62"/>
        <v>-8723</v>
      </c>
      <c r="Q279" s="108">
        <f t="shared" si="63"/>
        <v>0</v>
      </c>
    </row>
    <row r="280" spans="1:17">
      <c r="A280" s="12">
        <v>2720</v>
      </c>
      <c r="B280" s="13" t="s">
        <v>264</v>
      </c>
      <c r="C280" s="138">
        <f>VLOOKUP(A280,'Contribution Allocation_Report'!$A$9:$D$314,4,FALSE)</f>
        <v>1.2995103307977946E-3</v>
      </c>
      <c r="E280" s="144">
        <v>1.2880030727841121E-3</v>
      </c>
      <c r="F280" s="92"/>
      <c r="G280" s="101">
        <f t="shared" si="56"/>
        <v>31461</v>
      </c>
      <c r="H280" s="86">
        <f t="shared" si="57"/>
        <v>5453</v>
      </c>
      <c r="I280" s="86">
        <f t="shared" si="64"/>
        <v>26008</v>
      </c>
      <c r="J280" s="86"/>
      <c r="K280" s="87"/>
      <c r="L280" s="107">
        <f t="shared" si="58"/>
        <v>5453</v>
      </c>
      <c r="M280" s="107">
        <f t="shared" si="59"/>
        <v>5453</v>
      </c>
      <c r="N280" s="107">
        <f t="shared" si="60"/>
        <v>5453</v>
      </c>
      <c r="O280" s="107">
        <f t="shared" si="61"/>
        <v>5453</v>
      </c>
      <c r="P280" s="108">
        <f t="shared" si="62"/>
        <v>4196</v>
      </c>
      <c r="Q280" s="108">
        <f t="shared" si="63"/>
        <v>0</v>
      </c>
    </row>
    <row r="281" spans="1:17">
      <c r="A281" s="10">
        <v>2750</v>
      </c>
      <c r="B281" s="11" t="s">
        <v>265</v>
      </c>
      <c r="C281" s="137">
        <f>VLOOKUP(A281,'Contribution Allocation_Report'!$A$9:$D$314,4,FALSE)</f>
        <v>8.4991608018880794E-5</v>
      </c>
      <c r="E281" s="144">
        <v>7.8438626301432452E-5</v>
      </c>
      <c r="F281" s="92"/>
      <c r="G281" s="101">
        <f t="shared" si="56"/>
        <v>17916</v>
      </c>
      <c r="H281" s="86">
        <f t="shared" si="57"/>
        <v>3105</v>
      </c>
      <c r="I281" s="86">
        <f t="shared" si="64"/>
        <v>14811</v>
      </c>
      <c r="J281" s="86"/>
      <c r="K281" s="87"/>
      <c r="L281" s="107">
        <f t="shared" si="58"/>
        <v>3105</v>
      </c>
      <c r="M281" s="107">
        <f t="shared" si="59"/>
        <v>3105</v>
      </c>
      <c r="N281" s="107">
        <f t="shared" si="60"/>
        <v>3105</v>
      </c>
      <c r="O281" s="107">
        <f t="shared" si="61"/>
        <v>3105</v>
      </c>
      <c r="P281" s="108">
        <f t="shared" si="62"/>
        <v>2391</v>
      </c>
      <c r="Q281" s="108">
        <f t="shared" si="63"/>
        <v>0</v>
      </c>
    </row>
    <row r="282" spans="1:17">
      <c r="A282" s="12">
        <v>2770</v>
      </c>
      <c r="B282" s="13" t="s">
        <v>266</v>
      </c>
      <c r="C282" s="138">
        <f>VLOOKUP(A282,'Contribution Allocation_Report'!$A$9:$D$314,4,FALSE)</f>
        <v>1.2322898294356466E-3</v>
      </c>
      <c r="E282" s="144">
        <v>1.1295319221693162E-3</v>
      </c>
      <c r="F282" s="92"/>
      <c r="G282" s="101">
        <f t="shared" si="56"/>
        <v>280938</v>
      </c>
      <c r="H282" s="86">
        <f t="shared" si="57"/>
        <v>48689</v>
      </c>
      <c r="I282" s="86">
        <f t="shared" si="64"/>
        <v>232249</v>
      </c>
      <c r="J282" s="86"/>
      <c r="K282" s="87"/>
      <c r="L282" s="107">
        <f t="shared" si="58"/>
        <v>48689</v>
      </c>
      <c r="M282" s="107">
        <f t="shared" si="59"/>
        <v>48689</v>
      </c>
      <c r="N282" s="107">
        <f t="shared" si="60"/>
        <v>48689</v>
      </c>
      <c r="O282" s="107">
        <f t="shared" si="61"/>
        <v>48689</v>
      </c>
      <c r="P282" s="108">
        <f t="shared" si="62"/>
        <v>37493</v>
      </c>
      <c r="Q282" s="108">
        <f t="shared" si="63"/>
        <v>0</v>
      </c>
    </row>
    <row r="283" spans="1:17">
      <c r="A283" s="10">
        <v>32106</v>
      </c>
      <c r="B283" s="11" t="s">
        <v>267</v>
      </c>
      <c r="C283" s="137">
        <f>VLOOKUP(A283,'Contribution Allocation_Report'!$A$9:$D$314,4,FALSE)</f>
        <v>9.3265127383550603E-5</v>
      </c>
      <c r="E283" s="144">
        <v>6.0960710170602757E-5</v>
      </c>
      <c r="F283" s="92"/>
      <c r="G283" s="101">
        <f t="shared" si="56"/>
        <v>88319</v>
      </c>
      <c r="H283" s="86">
        <f t="shared" si="57"/>
        <v>15307</v>
      </c>
      <c r="I283" s="86">
        <f t="shared" si="64"/>
        <v>73012</v>
      </c>
      <c r="J283" s="86"/>
      <c r="K283" s="87"/>
      <c r="L283" s="107">
        <f t="shared" si="58"/>
        <v>15307</v>
      </c>
      <c r="M283" s="107">
        <f t="shared" si="59"/>
        <v>15307</v>
      </c>
      <c r="N283" s="107">
        <f t="shared" si="60"/>
        <v>15307</v>
      </c>
      <c r="O283" s="107">
        <f t="shared" si="61"/>
        <v>15307</v>
      </c>
      <c r="P283" s="108">
        <f t="shared" si="62"/>
        <v>11784</v>
      </c>
      <c r="Q283" s="108">
        <f t="shared" si="63"/>
        <v>0</v>
      </c>
    </row>
    <row r="284" spans="1:17">
      <c r="A284" s="12">
        <v>4180</v>
      </c>
      <c r="B284" s="13" t="s">
        <v>268</v>
      </c>
      <c r="C284" s="138">
        <f>VLOOKUP(A284,'Contribution Allocation_Report'!$A$9:$D$314,4,FALSE)</f>
        <v>1.2843864553816292E-4</v>
      </c>
      <c r="E284" s="144">
        <v>1.189848791763671E-4</v>
      </c>
      <c r="F284" s="92"/>
      <c r="G284" s="101">
        <f t="shared" si="56"/>
        <v>25846</v>
      </c>
      <c r="H284" s="86">
        <f t="shared" si="57"/>
        <v>4479</v>
      </c>
      <c r="I284" s="86">
        <f t="shared" si="64"/>
        <v>21367</v>
      </c>
      <c r="J284" s="86"/>
      <c r="K284" s="87"/>
      <c r="L284" s="107">
        <f t="shared" si="58"/>
        <v>4479</v>
      </c>
      <c r="M284" s="107">
        <f t="shared" si="59"/>
        <v>4479</v>
      </c>
      <c r="N284" s="107">
        <f t="shared" si="60"/>
        <v>4479</v>
      </c>
      <c r="O284" s="107">
        <f t="shared" si="61"/>
        <v>4479</v>
      </c>
      <c r="P284" s="108">
        <f t="shared" si="62"/>
        <v>3451</v>
      </c>
      <c r="Q284" s="108">
        <f t="shared" si="63"/>
        <v>0</v>
      </c>
    </row>
    <row r="285" spans="1:17">
      <c r="A285" s="10">
        <v>21063</v>
      </c>
      <c r="B285" s="11" t="s">
        <v>269</v>
      </c>
      <c r="C285" s="137">
        <f>VLOOKUP(A285,'Contribution Allocation_Report'!$A$9:$D$314,4,FALSE)</f>
        <v>1.922265949713859E-3</v>
      </c>
      <c r="E285" s="144">
        <v>1.977093078799389E-3</v>
      </c>
      <c r="F285" s="92"/>
      <c r="G285" s="101">
        <f t="shared" si="56"/>
        <v>-149896</v>
      </c>
      <c r="H285" s="86">
        <f t="shared" si="57"/>
        <v>-25979</v>
      </c>
      <c r="I285" s="86">
        <f t="shared" si="64"/>
        <v>-123917</v>
      </c>
      <c r="J285" s="86"/>
      <c r="K285" s="87"/>
      <c r="L285" s="107">
        <f t="shared" si="58"/>
        <v>-25979</v>
      </c>
      <c r="M285" s="107">
        <f t="shared" si="59"/>
        <v>-25979</v>
      </c>
      <c r="N285" s="107">
        <f t="shared" si="60"/>
        <v>-25979</v>
      </c>
      <c r="O285" s="107">
        <f t="shared" si="61"/>
        <v>-25979</v>
      </c>
      <c r="P285" s="108">
        <f t="shared" si="62"/>
        <v>-20001</v>
      </c>
      <c r="Q285" s="108">
        <f t="shared" si="63"/>
        <v>0</v>
      </c>
    </row>
    <row r="286" spans="1:17">
      <c r="A286" s="12">
        <v>10033</v>
      </c>
      <c r="B286" s="13" t="s">
        <v>270</v>
      </c>
      <c r="C286" s="138">
        <f>VLOOKUP(A286,'Contribution Allocation_Report'!$A$9:$D$314,4,FALSE)</f>
        <v>1.2339120881346016E-3</v>
      </c>
      <c r="E286" s="144">
        <v>1.2377913595511131E-3</v>
      </c>
      <c r="F286" s="92"/>
      <c r="G286" s="101">
        <f t="shared" si="56"/>
        <v>-10606</v>
      </c>
      <c r="H286" s="86">
        <f t="shared" si="57"/>
        <v>-1838</v>
      </c>
      <c r="I286" s="86">
        <f t="shared" si="64"/>
        <v>-8768</v>
      </c>
      <c r="J286" s="86"/>
      <c r="K286" s="87"/>
      <c r="L286" s="107">
        <f t="shared" si="58"/>
        <v>-1838</v>
      </c>
      <c r="M286" s="107">
        <f t="shared" si="59"/>
        <v>-1838</v>
      </c>
      <c r="N286" s="107">
        <f t="shared" si="60"/>
        <v>-1838</v>
      </c>
      <c r="O286" s="107">
        <f t="shared" si="61"/>
        <v>-1838</v>
      </c>
      <c r="P286" s="108">
        <f t="shared" si="62"/>
        <v>-1416</v>
      </c>
      <c r="Q286" s="108">
        <f t="shared" si="63"/>
        <v>0</v>
      </c>
    </row>
    <row r="287" spans="1:17">
      <c r="A287" s="10">
        <v>15049</v>
      </c>
      <c r="B287" s="11" t="s">
        <v>271</v>
      </c>
      <c r="C287" s="137">
        <f>VLOOKUP(A287,'Contribution Allocation_Report'!$A$9:$D$314,4,FALSE)</f>
        <v>1.3572996099964732E-3</v>
      </c>
      <c r="E287" s="144">
        <v>1.5109996118819083E-3</v>
      </c>
      <c r="F287" s="92"/>
      <c r="G287" s="101">
        <f t="shared" si="56"/>
        <v>-420212</v>
      </c>
      <c r="H287" s="86">
        <f t="shared" si="57"/>
        <v>-72827</v>
      </c>
      <c r="I287" s="86">
        <f t="shared" si="64"/>
        <v>-347385</v>
      </c>
      <c r="J287" s="86"/>
      <c r="K287" s="87"/>
      <c r="L287" s="107">
        <f t="shared" si="58"/>
        <v>-72827</v>
      </c>
      <c r="M287" s="107">
        <f t="shared" si="59"/>
        <v>-72827</v>
      </c>
      <c r="N287" s="107">
        <f t="shared" si="60"/>
        <v>-72827</v>
      </c>
      <c r="O287" s="107">
        <f t="shared" si="61"/>
        <v>-72827</v>
      </c>
      <c r="P287" s="108">
        <f t="shared" si="62"/>
        <v>-56077</v>
      </c>
      <c r="Q287" s="108">
        <f t="shared" si="63"/>
        <v>0</v>
      </c>
    </row>
    <row r="288" spans="1:17">
      <c r="A288" s="12">
        <v>1315</v>
      </c>
      <c r="B288" s="13" t="s">
        <v>272</v>
      </c>
      <c r="C288" s="138">
        <f>VLOOKUP(A288,'Contribution Allocation_Report'!$A$9:$D$314,4,FALSE)</f>
        <v>7.8111018964359044E-4</v>
      </c>
      <c r="E288" s="144">
        <v>8.2283610815928087E-4</v>
      </c>
      <c r="F288" s="92"/>
      <c r="G288" s="101">
        <f t="shared" si="56"/>
        <v>-114078</v>
      </c>
      <c r="H288" s="86">
        <f t="shared" si="57"/>
        <v>-19771</v>
      </c>
      <c r="I288" s="86">
        <f t="shared" si="64"/>
        <v>-94307</v>
      </c>
      <c r="J288" s="86"/>
      <c r="K288" s="87"/>
      <c r="L288" s="107">
        <f t="shared" si="58"/>
        <v>-19771</v>
      </c>
      <c r="M288" s="107">
        <f t="shared" si="59"/>
        <v>-19771</v>
      </c>
      <c r="N288" s="107">
        <f t="shared" si="60"/>
        <v>-19771</v>
      </c>
      <c r="O288" s="107">
        <f t="shared" si="61"/>
        <v>-19771</v>
      </c>
      <c r="P288" s="108">
        <f t="shared" si="62"/>
        <v>-15223</v>
      </c>
      <c r="Q288" s="108">
        <f t="shared" si="63"/>
        <v>0</v>
      </c>
    </row>
    <row r="289" spans="1:17">
      <c r="A289" s="10">
        <v>3340</v>
      </c>
      <c r="B289" s="11" t="s">
        <v>273</v>
      </c>
      <c r="C289" s="137">
        <f>VLOOKUP(A289,'Contribution Allocation_Report'!$A$9:$D$314,4,FALSE)</f>
        <v>2.6198003207485659E-4</v>
      </c>
      <c r="E289" s="144">
        <v>2.6520735541376217E-4</v>
      </c>
      <c r="F289" s="92"/>
      <c r="G289" s="101">
        <f t="shared" si="56"/>
        <v>-8823</v>
      </c>
      <c r="H289" s="86">
        <f t="shared" si="57"/>
        <v>-1529</v>
      </c>
      <c r="I289" s="86">
        <f t="shared" si="64"/>
        <v>-7294</v>
      </c>
      <c r="J289" s="86"/>
      <c r="K289" s="87"/>
      <c r="L289" s="107">
        <f t="shared" si="58"/>
        <v>-1529</v>
      </c>
      <c r="M289" s="107">
        <f t="shared" si="59"/>
        <v>-1529</v>
      </c>
      <c r="N289" s="107">
        <f t="shared" si="60"/>
        <v>-1529</v>
      </c>
      <c r="O289" s="107">
        <f t="shared" si="61"/>
        <v>-1529</v>
      </c>
      <c r="P289" s="108">
        <f t="shared" si="62"/>
        <v>-1178</v>
      </c>
      <c r="Q289" s="108">
        <f t="shared" si="63"/>
        <v>0</v>
      </c>
    </row>
    <row r="290" spans="1:17">
      <c r="A290" s="12">
        <v>3350</v>
      </c>
      <c r="B290" s="13" t="s">
        <v>274</v>
      </c>
      <c r="C290" s="138">
        <f>VLOOKUP(A290,'Contribution Allocation_Report'!$A$9:$D$314,4,FALSE)</f>
        <v>2.3882892566013522E-3</v>
      </c>
      <c r="E290" s="144">
        <v>2.1037883414620432E-3</v>
      </c>
      <c r="F290" s="92"/>
      <c r="G290" s="101">
        <f t="shared" si="56"/>
        <v>777818</v>
      </c>
      <c r="H290" s="86">
        <f t="shared" si="57"/>
        <v>134804</v>
      </c>
      <c r="I290" s="86">
        <f t="shared" si="64"/>
        <v>643014</v>
      </c>
      <c r="J290" s="86"/>
      <c r="K290" s="87"/>
      <c r="L290" s="107">
        <f t="shared" si="58"/>
        <v>134804</v>
      </c>
      <c r="M290" s="107">
        <f t="shared" si="59"/>
        <v>134804</v>
      </c>
      <c r="N290" s="107">
        <f t="shared" si="60"/>
        <v>134804</v>
      </c>
      <c r="O290" s="107">
        <f t="shared" si="61"/>
        <v>134804</v>
      </c>
      <c r="P290" s="108">
        <f t="shared" si="62"/>
        <v>103798</v>
      </c>
      <c r="Q290" s="108">
        <f t="shared" si="63"/>
        <v>0</v>
      </c>
    </row>
    <row r="291" spans="1:17">
      <c r="A291" s="10">
        <v>24073</v>
      </c>
      <c r="B291" s="11" t="s">
        <v>275</v>
      </c>
      <c r="C291" s="137">
        <f>VLOOKUP(A291,'Contribution Allocation_Report'!$A$9:$D$314,4,FALSE)</f>
        <v>2.6795289364828131E-4</v>
      </c>
      <c r="E291" s="144">
        <v>2.437329166815882E-4</v>
      </c>
      <c r="F291" s="92"/>
      <c r="G291" s="101">
        <f t="shared" si="56"/>
        <v>66217</v>
      </c>
      <c r="H291" s="86">
        <f t="shared" si="57"/>
        <v>11476</v>
      </c>
      <c r="I291" s="86">
        <f t="shared" si="64"/>
        <v>54741</v>
      </c>
      <c r="J291" s="86"/>
      <c r="K291" s="87"/>
      <c r="L291" s="107">
        <f t="shared" si="58"/>
        <v>11476</v>
      </c>
      <c r="M291" s="107">
        <f t="shared" si="59"/>
        <v>11476</v>
      </c>
      <c r="N291" s="107">
        <f t="shared" si="60"/>
        <v>11476</v>
      </c>
      <c r="O291" s="107">
        <f t="shared" si="61"/>
        <v>11476</v>
      </c>
      <c r="P291" s="108">
        <f t="shared" si="62"/>
        <v>8837</v>
      </c>
      <c r="Q291" s="108">
        <f t="shared" si="63"/>
        <v>0</v>
      </c>
    </row>
    <row r="292" spans="1:17">
      <c r="A292" s="12">
        <v>2100</v>
      </c>
      <c r="B292" s="13" t="s">
        <v>276</v>
      </c>
      <c r="C292" s="138">
        <f>VLOOKUP(A292,'Contribution Allocation_Report'!$A$9:$D$314,4,FALSE)</f>
        <v>2.4081692995667263E-4</v>
      </c>
      <c r="E292" s="144">
        <v>2.3114661858737436E-4</v>
      </c>
      <c r="F292" s="92"/>
      <c r="G292" s="101">
        <f t="shared" si="56"/>
        <v>26438</v>
      </c>
      <c r="H292" s="86">
        <f t="shared" si="57"/>
        <v>4582</v>
      </c>
      <c r="I292" s="86">
        <f t="shared" si="64"/>
        <v>21856</v>
      </c>
      <c r="J292" s="86"/>
      <c r="K292" s="87"/>
      <c r="L292" s="107">
        <f t="shared" si="58"/>
        <v>4582</v>
      </c>
      <c r="M292" s="107">
        <f t="shared" si="59"/>
        <v>4582</v>
      </c>
      <c r="N292" s="107">
        <f t="shared" si="60"/>
        <v>4582</v>
      </c>
      <c r="O292" s="107">
        <f t="shared" si="61"/>
        <v>4582</v>
      </c>
      <c r="P292" s="108">
        <f t="shared" si="62"/>
        <v>3528</v>
      </c>
      <c r="Q292" s="108">
        <f t="shared" si="63"/>
        <v>0</v>
      </c>
    </row>
    <row r="293" spans="1:17">
      <c r="A293" s="10">
        <v>2130</v>
      </c>
      <c r="B293" s="11" t="s">
        <v>277</v>
      </c>
      <c r="C293" s="137">
        <f>VLOOKUP(A293,'Contribution Allocation_Report'!$A$9:$D$314,4,FALSE)</f>
        <v>6.2206247201742007E-5</v>
      </c>
      <c r="E293" s="144">
        <v>7.4599137986977945E-5</v>
      </c>
      <c r="F293" s="92"/>
      <c r="G293" s="101">
        <f t="shared" si="56"/>
        <v>-33882</v>
      </c>
      <c r="H293" s="86">
        <f t="shared" si="57"/>
        <v>-5872</v>
      </c>
      <c r="I293" s="86">
        <f t="shared" si="64"/>
        <v>-28010</v>
      </c>
      <c r="J293" s="86"/>
      <c r="K293" s="87"/>
      <c r="L293" s="107">
        <f t="shared" si="58"/>
        <v>-5872</v>
      </c>
      <c r="M293" s="107">
        <f t="shared" si="59"/>
        <v>-5872</v>
      </c>
      <c r="N293" s="107">
        <f t="shared" si="60"/>
        <v>-5872</v>
      </c>
      <c r="O293" s="107">
        <f t="shared" si="61"/>
        <v>-5872</v>
      </c>
      <c r="P293" s="108">
        <f t="shared" si="62"/>
        <v>-4522</v>
      </c>
      <c r="Q293" s="108">
        <f t="shared" si="63"/>
        <v>0</v>
      </c>
    </row>
    <row r="294" spans="1:17">
      <c r="A294" s="12">
        <v>32099</v>
      </c>
      <c r="B294" s="13" t="s">
        <v>278</v>
      </c>
      <c r="C294" s="138">
        <f>VLOOKUP(A294,'Contribution Allocation_Report'!$A$9:$D$314,4,FALSE)</f>
        <v>1.1276910128689432E-4</v>
      </c>
      <c r="E294" s="144">
        <v>9.4024279275240594E-5</v>
      </c>
      <c r="F294" s="92"/>
      <c r="G294" s="101">
        <f t="shared" si="56"/>
        <v>51248</v>
      </c>
      <c r="H294" s="86">
        <f t="shared" si="57"/>
        <v>8882</v>
      </c>
      <c r="I294" s="86">
        <f t="shared" si="64"/>
        <v>42366</v>
      </c>
      <c r="J294" s="86"/>
      <c r="K294" s="87"/>
      <c r="L294" s="107">
        <f t="shared" si="58"/>
        <v>8882</v>
      </c>
      <c r="M294" s="107">
        <f t="shared" si="59"/>
        <v>8882</v>
      </c>
      <c r="N294" s="107">
        <f t="shared" si="60"/>
        <v>8882</v>
      </c>
      <c r="O294" s="107">
        <f t="shared" si="61"/>
        <v>8882</v>
      </c>
      <c r="P294" s="108">
        <f t="shared" si="62"/>
        <v>6838</v>
      </c>
      <c r="Q294" s="108">
        <f t="shared" si="63"/>
        <v>0</v>
      </c>
    </row>
    <row r="295" spans="1:17">
      <c r="A295" s="10">
        <v>32100</v>
      </c>
      <c r="B295" s="11" t="s">
        <v>279</v>
      </c>
      <c r="C295" s="137">
        <f>VLOOKUP(A295,'Contribution Allocation_Report'!$A$9:$D$314,4,FALSE)</f>
        <v>1.7661972889712239E-4</v>
      </c>
      <c r="E295" s="144">
        <v>1.7968648277360175E-4</v>
      </c>
      <c r="F295" s="92"/>
      <c r="G295" s="101">
        <f t="shared" si="56"/>
        <v>-8384</v>
      </c>
      <c r="H295" s="86">
        <f t="shared" si="57"/>
        <v>-1453</v>
      </c>
      <c r="I295" s="86">
        <f t="shared" si="64"/>
        <v>-6931</v>
      </c>
      <c r="J295" s="86"/>
      <c r="K295" s="87"/>
      <c r="L295" s="107">
        <f t="shared" si="58"/>
        <v>-1453</v>
      </c>
      <c r="M295" s="107">
        <f t="shared" si="59"/>
        <v>-1453</v>
      </c>
      <c r="N295" s="107">
        <f t="shared" si="60"/>
        <v>-1453</v>
      </c>
      <c r="O295" s="107">
        <f t="shared" si="61"/>
        <v>-1453</v>
      </c>
      <c r="P295" s="108">
        <f t="shared" si="62"/>
        <v>-1119</v>
      </c>
      <c r="Q295" s="108">
        <f t="shared" si="63"/>
        <v>0</v>
      </c>
    </row>
    <row r="296" spans="1:17">
      <c r="A296" s="12">
        <v>32101</v>
      </c>
      <c r="B296" s="13" t="s">
        <v>280</v>
      </c>
      <c r="C296" s="138">
        <f>VLOOKUP(A296,'Contribution Allocation_Report'!$A$9:$D$314,4,FALSE)</f>
        <v>5.8305452421073259E-5</v>
      </c>
      <c r="E296" s="144">
        <v>6.3787327334618345E-5</v>
      </c>
      <c r="F296" s="92"/>
      <c r="G296" s="101">
        <f t="shared" si="56"/>
        <v>-14987</v>
      </c>
      <c r="H296" s="86">
        <f t="shared" si="57"/>
        <v>-2597</v>
      </c>
      <c r="I296" s="86">
        <f t="shared" si="64"/>
        <v>-12390</v>
      </c>
      <c r="J296" s="86"/>
      <c r="K296" s="87"/>
      <c r="L296" s="107">
        <f t="shared" si="58"/>
        <v>-2597</v>
      </c>
      <c r="M296" s="107">
        <f t="shared" si="59"/>
        <v>-2597</v>
      </c>
      <c r="N296" s="107">
        <f t="shared" si="60"/>
        <v>-2597</v>
      </c>
      <c r="O296" s="107">
        <f t="shared" si="61"/>
        <v>-2597</v>
      </c>
      <c r="P296" s="108">
        <f t="shared" si="62"/>
        <v>-2002</v>
      </c>
      <c r="Q296" s="108">
        <f t="shared" si="63"/>
        <v>0</v>
      </c>
    </row>
    <row r="297" spans="1:17">
      <c r="A297" s="10">
        <v>32102</v>
      </c>
      <c r="B297" s="11" t="s">
        <v>281</v>
      </c>
      <c r="C297" s="137">
        <f>VLOOKUP(A297,'Contribution Allocation_Report'!$A$9:$D$314,4,FALSE)</f>
        <v>1.1255525809475936E-4</v>
      </c>
      <c r="E297" s="144">
        <v>1.0392529106363963E-4</v>
      </c>
      <c r="F297" s="92"/>
      <c r="G297" s="101">
        <f t="shared" si="56"/>
        <v>23594</v>
      </c>
      <c r="H297" s="86">
        <f t="shared" si="57"/>
        <v>4089</v>
      </c>
      <c r="I297" s="86">
        <f t="shared" si="64"/>
        <v>19505</v>
      </c>
      <c r="J297" s="86"/>
      <c r="K297" s="87"/>
      <c r="L297" s="107">
        <f t="shared" si="58"/>
        <v>4089</v>
      </c>
      <c r="M297" s="107">
        <f t="shared" si="59"/>
        <v>4089</v>
      </c>
      <c r="N297" s="107">
        <f t="shared" si="60"/>
        <v>4089</v>
      </c>
      <c r="O297" s="107">
        <f t="shared" si="61"/>
        <v>4089</v>
      </c>
      <c r="P297" s="108">
        <f t="shared" si="62"/>
        <v>3149</v>
      </c>
      <c r="Q297" s="108">
        <f t="shared" si="63"/>
        <v>0</v>
      </c>
    </row>
    <row r="298" spans="1:17">
      <c r="A298" s="12">
        <v>2880</v>
      </c>
      <c r="B298" s="13" t="s">
        <v>282</v>
      </c>
      <c r="C298" s="138">
        <f>VLOOKUP(A298,'Contribution Allocation_Report'!$A$9:$D$314,4,FALSE)</f>
        <v>2.8728726777855244E-5</v>
      </c>
      <c r="E298" s="144">
        <v>3.5984406840787276E-5</v>
      </c>
      <c r="F298" s="92"/>
      <c r="G298" s="101">
        <f t="shared" si="56"/>
        <v>-19837</v>
      </c>
      <c r="H298" s="86">
        <f t="shared" si="57"/>
        <v>-3438</v>
      </c>
      <c r="I298" s="86">
        <f t="shared" si="64"/>
        <v>-16399</v>
      </c>
      <c r="J298" s="86"/>
      <c r="K298" s="87"/>
      <c r="L298" s="107">
        <f t="shared" si="58"/>
        <v>-3438</v>
      </c>
      <c r="M298" s="107">
        <f t="shared" si="59"/>
        <v>-3438</v>
      </c>
      <c r="N298" s="107">
        <f t="shared" si="60"/>
        <v>-3438</v>
      </c>
      <c r="O298" s="107">
        <f t="shared" si="61"/>
        <v>-3438</v>
      </c>
      <c r="P298" s="108">
        <f t="shared" si="62"/>
        <v>-2647</v>
      </c>
      <c r="Q298" s="108">
        <f t="shared" si="63"/>
        <v>0</v>
      </c>
    </row>
    <row r="299" spans="1:17">
      <c r="A299" s="10">
        <v>2490</v>
      </c>
      <c r="B299" s="11" t="s">
        <v>283</v>
      </c>
      <c r="C299" s="137">
        <f>VLOOKUP(A299,'Contribution Allocation_Report'!$A$9:$D$314,4,FALSE)</f>
        <v>3.1680500219635391E-4</v>
      </c>
      <c r="E299" s="144">
        <v>2.9380329905638646E-4</v>
      </c>
      <c r="F299" s="92"/>
      <c r="G299" s="101">
        <f t="shared" si="56"/>
        <v>62886</v>
      </c>
      <c r="H299" s="86">
        <f t="shared" si="57"/>
        <v>10899</v>
      </c>
      <c r="I299" s="86">
        <f t="shared" si="64"/>
        <v>51987</v>
      </c>
      <c r="J299" s="86"/>
      <c r="K299" s="87"/>
      <c r="L299" s="107">
        <f t="shared" si="58"/>
        <v>10899</v>
      </c>
      <c r="M299" s="107">
        <f t="shared" si="59"/>
        <v>10899</v>
      </c>
      <c r="N299" s="107">
        <f t="shared" si="60"/>
        <v>10899</v>
      </c>
      <c r="O299" s="107">
        <f t="shared" si="61"/>
        <v>10899</v>
      </c>
      <c r="P299" s="108">
        <f t="shared" si="62"/>
        <v>8391</v>
      </c>
      <c r="Q299" s="108">
        <f t="shared" si="63"/>
        <v>0</v>
      </c>
    </row>
    <row r="300" spans="1:17">
      <c r="A300" s="12">
        <v>2530</v>
      </c>
      <c r="B300" s="13" t="s">
        <v>284</v>
      </c>
      <c r="C300" s="138">
        <f>VLOOKUP(A300,'Contribution Allocation_Report'!$A$9:$D$314,4,FALSE)</f>
        <v>6.7943143873500566E-5</v>
      </c>
      <c r="E300" s="144">
        <v>5.5409548129049932E-5</v>
      </c>
      <c r="F300" s="92"/>
      <c r="G300" s="101">
        <f t="shared" si="56"/>
        <v>34267</v>
      </c>
      <c r="H300" s="86">
        <f t="shared" si="57"/>
        <v>5939</v>
      </c>
      <c r="I300" s="86">
        <f t="shared" si="64"/>
        <v>28328</v>
      </c>
      <c r="J300" s="86"/>
      <c r="K300" s="87"/>
      <c r="L300" s="107">
        <f t="shared" si="58"/>
        <v>5939</v>
      </c>
      <c r="M300" s="107">
        <f t="shared" si="59"/>
        <v>5939</v>
      </c>
      <c r="N300" s="107">
        <f t="shared" si="60"/>
        <v>5939</v>
      </c>
      <c r="O300" s="107">
        <f t="shared" si="61"/>
        <v>5939</v>
      </c>
      <c r="P300" s="108">
        <f t="shared" si="62"/>
        <v>4572</v>
      </c>
      <c r="Q300" s="108">
        <f t="shared" si="63"/>
        <v>0</v>
      </c>
    </row>
    <row r="301" spans="1:17">
      <c r="A301" s="10">
        <v>2560</v>
      </c>
      <c r="B301" s="11" t="s">
        <v>285</v>
      </c>
      <c r="C301" s="137">
        <f>VLOOKUP(A301,'Contribution Allocation_Report'!$A$9:$D$314,4,FALSE)</f>
        <v>1.5726323305732001E-4</v>
      </c>
      <c r="E301" s="144">
        <v>1.5566023687946931E-4</v>
      </c>
      <c r="F301" s="92"/>
      <c r="G301" s="101">
        <f t="shared" si="56"/>
        <v>4383</v>
      </c>
      <c r="H301" s="86">
        <f t="shared" si="57"/>
        <v>760</v>
      </c>
      <c r="I301" s="86">
        <f t="shared" si="64"/>
        <v>3623</v>
      </c>
      <c r="J301" s="86"/>
      <c r="K301" s="87"/>
      <c r="L301" s="107">
        <f t="shared" si="58"/>
        <v>760</v>
      </c>
      <c r="M301" s="107">
        <f t="shared" si="59"/>
        <v>760</v>
      </c>
      <c r="N301" s="107">
        <f t="shared" si="60"/>
        <v>760</v>
      </c>
      <c r="O301" s="107">
        <f t="shared" si="61"/>
        <v>760</v>
      </c>
      <c r="P301" s="108">
        <f t="shared" si="62"/>
        <v>583</v>
      </c>
      <c r="Q301" s="108">
        <f t="shared" si="63"/>
        <v>0</v>
      </c>
    </row>
    <row r="302" spans="1:17">
      <c r="A302" s="12">
        <v>2610</v>
      </c>
      <c r="B302" s="13" t="s">
        <v>286</v>
      </c>
      <c r="C302" s="138">
        <f>VLOOKUP(A302,'Contribution Allocation_Report'!$A$9:$D$314,4,FALSE)</f>
        <v>3.1899505143994302E-5</v>
      </c>
      <c r="E302" s="144">
        <v>3.1069233661137961E-5</v>
      </c>
      <c r="F302" s="92"/>
      <c r="G302" s="101">
        <f t="shared" si="56"/>
        <v>2270</v>
      </c>
      <c r="H302" s="86">
        <f t="shared" si="57"/>
        <v>393</v>
      </c>
      <c r="I302" s="86">
        <f t="shared" si="64"/>
        <v>1877</v>
      </c>
      <c r="J302" s="86"/>
      <c r="K302" s="87"/>
      <c r="L302" s="107">
        <f t="shared" si="58"/>
        <v>393</v>
      </c>
      <c r="M302" s="107">
        <f t="shared" si="59"/>
        <v>393</v>
      </c>
      <c r="N302" s="107">
        <f t="shared" si="60"/>
        <v>393</v>
      </c>
      <c r="O302" s="107">
        <f t="shared" si="61"/>
        <v>393</v>
      </c>
      <c r="P302" s="108">
        <f t="shared" si="62"/>
        <v>305</v>
      </c>
      <c r="Q302" s="108">
        <f t="shared" si="63"/>
        <v>0</v>
      </c>
    </row>
    <row r="303" spans="1:17">
      <c r="A303" s="10">
        <v>2800</v>
      </c>
      <c r="B303" s="11" t="s">
        <v>287</v>
      </c>
      <c r="C303" s="137">
        <f>VLOOKUP(A303,'Contribution Allocation_Report'!$A$9:$D$314,4,FALSE)</f>
        <v>8.5677381014348069E-5</v>
      </c>
      <c r="E303" s="144">
        <v>9.2972149553079248E-5</v>
      </c>
      <c r="F303" s="92"/>
      <c r="G303" s="101">
        <f t="shared" si="56"/>
        <v>-19944</v>
      </c>
      <c r="H303" s="86">
        <f t="shared" si="57"/>
        <v>-3456</v>
      </c>
      <c r="I303" s="86">
        <f t="shared" si="64"/>
        <v>-16488</v>
      </c>
      <c r="J303" s="86"/>
      <c r="K303" s="87"/>
      <c r="L303" s="107">
        <f t="shared" si="58"/>
        <v>-3456</v>
      </c>
      <c r="M303" s="107">
        <f t="shared" si="59"/>
        <v>-3456</v>
      </c>
      <c r="N303" s="107">
        <f t="shared" si="60"/>
        <v>-3456</v>
      </c>
      <c r="O303" s="107">
        <f t="shared" si="61"/>
        <v>-3456</v>
      </c>
      <c r="P303" s="108">
        <f t="shared" si="62"/>
        <v>-2664</v>
      </c>
      <c r="Q303" s="108">
        <f t="shared" si="63"/>
        <v>0</v>
      </c>
    </row>
    <row r="304" spans="1:17">
      <c r="A304" s="12">
        <v>20317</v>
      </c>
      <c r="B304" s="43" t="s">
        <v>288</v>
      </c>
      <c r="C304" s="140">
        <f>VLOOKUP(A304,'Contribution Allocation_Report'!$A$9:$D$314,4,FALSE)</f>
        <v>1.4980821694530471E-4</v>
      </c>
      <c r="E304" s="144">
        <v>1.5480440001592013E-4</v>
      </c>
      <c r="F304" s="92"/>
      <c r="G304" s="101">
        <f t="shared" si="56"/>
        <v>-13659</v>
      </c>
      <c r="H304" s="86">
        <f t="shared" si="57"/>
        <v>-2367</v>
      </c>
      <c r="I304" s="86">
        <f t="shared" si="64"/>
        <v>-11292</v>
      </c>
      <c r="J304" s="86"/>
      <c r="K304" s="87"/>
      <c r="L304" s="107">
        <f t="shared" si="58"/>
        <v>-2367</v>
      </c>
      <c r="M304" s="107">
        <f t="shared" si="59"/>
        <v>-2367</v>
      </c>
      <c r="N304" s="107">
        <f t="shared" si="60"/>
        <v>-2367</v>
      </c>
      <c r="O304" s="107">
        <f t="shared" si="61"/>
        <v>-2367</v>
      </c>
      <c r="P304" s="108">
        <f t="shared" si="62"/>
        <v>-1824</v>
      </c>
      <c r="Q304" s="108">
        <f t="shared" si="63"/>
        <v>0</v>
      </c>
    </row>
    <row r="305" spans="1:17">
      <c r="A305" s="10">
        <v>2442</v>
      </c>
      <c r="B305" s="11" t="s">
        <v>415</v>
      </c>
      <c r="C305" s="137">
        <f>VLOOKUP(A305,'Contribution Allocation_Report'!$A$9:$D$314,4,FALSE)</f>
        <v>1.8262945998643245E-4</v>
      </c>
      <c r="E305" s="144">
        <v>1.4387481364839321E-4</v>
      </c>
      <c r="F305" s="92"/>
      <c r="G305" s="101">
        <f t="shared" si="56"/>
        <v>105954</v>
      </c>
      <c r="H305" s="86">
        <f t="shared" si="57"/>
        <v>18363</v>
      </c>
      <c r="I305" s="86">
        <f t="shared" si="64"/>
        <v>87591</v>
      </c>
      <c r="J305" s="86"/>
      <c r="K305" s="87"/>
      <c r="L305" s="107">
        <f t="shared" si="58"/>
        <v>18363</v>
      </c>
      <c r="M305" s="107">
        <f t="shared" si="59"/>
        <v>18363</v>
      </c>
      <c r="N305" s="107">
        <f t="shared" si="60"/>
        <v>18363</v>
      </c>
      <c r="O305" s="107">
        <f t="shared" si="61"/>
        <v>18363</v>
      </c>
      <c r="P305" s="108">
        <f t="shared" si="62"/>
        <v>14139</v>
      </c>
      <c r="Q305" s="108">
        <f t="shared" si="63"/>
        <v>0</v>
      </c>
    </row>
    <row r="306" spans="1:17">
      <c r="A306" s="12">
        <v>30090</v>
      </c>
      <c r="B306" s="13" t="s">
        <v>289</v>
      </c>
      <c r="C306" s="138">
        <f>VLOOKUP(A306,'Contribution Allocation_Report'!$A$9:$D$314,4,FALSE)</f>
        <v>2.2883433729393784E-4</v>
      </c>
      <c r="E306" s="144">
        <v>2.7945821694900738E-4</v>
      </c>
      <c r="F306" s="92"/>
      <c r="G306" s="101">
        <f t="shared" si="56"/>
        <v>-138404</v>
      </c>
      <c r="H306" s="86">
        <f t="shared" si="57"/>
        <v>-23987</v>
      </c>
      <c r="I306" s="86">
        <f t="shared" ref="I306" si="65">G306-H306</f>
        <v>-114417</v>
      </c>
      <c r="J306" s="86"/>
      <c r="K306" s="87"/>
      <c r="L306" s="107">
        <f t="shared" si="58"/>
        <v>-23987</v>
      </c>
      <c r="M306" s="107">
        <f t="shared" si="59"/>
        <v>-23987</v>
      </c>
      <c r="N306" s="107">
        <f t="shared" si="60"/>
        <v>-23987</v>
      </c>
      <c r="O306" s="107">
        <f t="shared" si="61"/>
        <v>-23987</v>
      </c>
      <c r="P306" s="108">
        <f t="shared" si="62"/>
        <v>-18469</v>
      </c>
      <c r="Q306" s="108">
        <f>+I306-SUM(L306:P306)</f>
        <v>0</v>
      </c>
    </row>
    <row r="307" spans="1:17">
      <c r="A307" s="10">
        <v>29330</v>
      </c>
      <c r="B307" s="11" t="s">
        <v>290</v>
      </c>
      <c r="C307" s="137">
        <f>VLOOKUP(A307,'Contribution Allocation_Report'!$A$9:$D$314,4,FALSE)</f>
        <v>1.3667529538694738E-4</v>
      </c>
      <c r="E307" s="144">
        <v>1.399175496187714E-4</v>
      </c>
      <c r="F307" s="92"/>
      <c r="G307" s="101">
        <f t="shared" si="56"/>
        <v>-8864</v>
      </c>
      <c r="H307" s="86">
        <f t="shared" si="57"/>
        <v>-1536</v>
      </c>
      <c r="I307" s="86">
        <f t="shared" si="64"/>
        <v>-7328</v>
      </c>
      <c r="J307" s="86"/>
      <c r="K307" s="87"/>
      <c r="L307" s="107">
        <f t="shared" si="58"/>
        <v>-1536</v>
      </c>
      <c r="M307" s="107">
        <f t="shared" si="59"/>
        <v>-1536</v>
      </c>
      <c r="N307" s="107">
        <f t="shared" si="60"/>
        <v>-1536</v>
      </c>
      <c r="O307" s="107">
        <f t="shared" si="61"/>
        <v>-1536</v>
      </c>
      <c r="P307" s="108">
        <f t="shared" si="62"/>
        <v>-1184</v>
      </c>
      <c r="Q307" s="108">
        <f t="shared" si="63"/>
        <v>0</v>
      </c>
    </row>
    <row r="308" spans="1:17">
      <c r="A308" s="12">
        <v>12038</v>
      </c>
      <c r="B308" s="13" t="s">
        <v>291</v>
      </c>
      <c r="C308" s="138">
        <f>VLOOKUP(A308,'Contribution Allocation_Report'!$A$9:$D$314,4,FALSE)</f>
        <v>2.2218676357981144E-3</v>
      </c>
      <c r="E308" s="144">
        <v>2.3672840231487068E-3</v>
      </c>
      <c r="F308" s="92"/>
      <c r="G308" s="101">
        <f t="shared" si="56"/>
        <v>-397565</v>
      </c>
      <c r="H308" s="86">
        <f t="shared" si="57"/>
        <v>-68902</v>
      </c>
      <c r="I308" s="86">
        <f t="shared" si="64"/>
        <v>-328663</v>
      </c>
      <c r="J308" s="86"/>
      <c r="K308" s="87"/>
      <c r="L308" s="107">
        <f t="shared" si="58"/>
        <v>-68902</v>
      </c>
      <c r="M308" s="107">
        <f t="shared" si="59"/>
        <v>-68902</v>
      </c>
      <c r="N308" s="107">
        <f t="shared" si="60"/>
        <v>-68902</v>
      </c>
      <c r="O308" s="107">
        <f t="shared" si="61"/>
        <v>-68902</v>
      </c>
      <c r="P308" s="108">
        <f t="shared" si="62"/>
        <v>-53055</v>
      </c>
      <c r="Q308" s="108">
        <f t="shared" si="63"/>
        <v>0</v>
      </c>
    </row>
    <row r="309" spans="1:17">
      <c r="A309" s="10">
        <v>8099</v>
      </c>
      <c r="B309" s="11" t="s">
        <v>292</v>
      </c>
      <c r="C309" s="137">
        <f>VLOOKUP(A309,'Contribution Allocation_Report'!$A$9:$D$314,4,FALSE)</f>
        <v>4.2630156525326566E-3</v>
      </c>
      <c r="E309" s="144">
        <v>4.2172264398534619E-3</v>
      </c>
      <c r="F309" s="92"/>
      <c r="G309" s="101">
        <f t="shared" si="56"/>
        <v>125187</v>
      </c>
      <c r="H309" s="86">
        <f t="shared" si="57"/>
        <v>21696</v>
      </c>
      <c r="I309" s="86">
        <f t="shared" si="64"/>
        <v>103491</v>
      </c>
      <c r="J309" s="86"/>
      <c r="K309" s="87"/>
      <c r="L309" s="107">
        <f t="shared" si="58"/>
        <v>21696</v>
      </c>
      <c r="M309" s="107">
        <f t="shared" si="59"/>
        <v>21696</v>
      </c>
      <c r="N309" s="107">
        <f t="shared" si="60"/>
        <v>21696</v>
      </c>
      <c r="O309" s="107">
        <f t="shared" si="61"/>
        <v>21696</v>
      </c>
      <c r="P309" s="108">
        <f t="shared" si="62"/>
        <v>16707</v>
      </c>
      <c r="Q309" s="108">
        <f t="shared" si="63"/>
        <v>0</v>
      </c>
    </row>
    <row r="310" spans="1:17">
      <c r="A310" s="10">
        <v>13142</v>
      </c>
      <c r="B310" s="11" t="s">
        <v>294</v>
      </c>
      <c r="C310" s="137">
        <f>VLOOKUP(A310,'Contribution Allocation_Report'!$A$9:$D$314,4,FALSE)</f>
        <v>2.4473615949528404E-3</v>
      </c>
      <c r="E310" s="144">
        <v>2.5788955764469959E-3</v>
      </c>
      <c r="F310" s="92"/>
      <c r="G310" s="101">
        <f t="shared" si="56"/>
        <v>-359611</v>
      </c>
      <c r="H310" s="86">
        <f t="shared" si="57"/>
        <v>-62324</v>
      </c>
      <c r="I310" s="101">
        <f t="shared" si="64"/>
        <v>-297287</v>
      </c>
      <c r="J310" s="86"/>
      <c r="K310" s="87"/>
      <c r="L310" s="107">
        <f t="shared" si="58"/>
        <v>-62324</v>
      </c>
      <c r="M310" s="107">
        <f t="shared" si="59"/>
        <v>-62324</v>
      </c>
      <c r="N310" s="107">
        <f t="shared" si="60"/>
        <v>-62324</v>
      </c>
      <c r="O310" s="107">
        <f t="shared" si="61"/>
        <v>-62324</v>
      </c>
      <c r="P310" s="108">
        <f t="shared" si="62"/>
        <v>-47991</v>
      </c>
      <c r="Q310" s="108">
        <f>+I310-SUM(L310:P310)</f>
        <v>0</v>
      </c>
    </row>
    <row r="311" spans="1:17">
      <c r="A311" s="12">
        <v>2417</v>
      </c>
      <c r="B311" s="43" t="s">
        <v>293</v>
      </c>
      <c r="C311" s="140">
        <v>0</v>
      </c>
      <c r="E311" s="144">
        <v>8.2278114615886945E-5</v>
      </c>
      <c r="F311" s="92"/>
      <c r="G311" s="101">
        <f>ROUND((E311-C311)*$G$318,0)+3</f>
        <v>-224943</v>
      </c>
      <c r="H311" s="86">
        <f>ROUND(G311/5.77,0)-3</f>
        <v>-38988</v>
      </c>
      <c r="I311" s="86">
        <f>G311-H311</f>
        <v>-185955</v>
      </c>
      <c r="J311" s="86"/>
      <c r="K311" s="87"/>
      <c r="L311" s="107">
        <f>+H311</f>
        <v>-38988</v>
      </c>
      <c r="M311" s="107">
        <f>+L311</f>
        <v>-38988</v>
      </c>
      <c r="N311" s="107">
        <f>+M311</f>
        <v>-38988</v>
      </c>
      <c r="O311" s="107">
        <f>+N311</f>
        <v>-38988</v>
      </c>
      <c r="P311" s="108">
        <f>I311-SUM(L311:O311)</f>
        <v>-30003</v>
      </c>
      <c r="Q311" s="108">
        <f>+I311-SUM(L311:P311)</f>
        <v>0</v>
      </c>
    </row>
    <row r="312" spans="1:17">
      <c r="A312" s="18"/>
      <c r="B312" s="19"/>
      <c r="C312" s="20"/>
      <c r="E312" s="90"/>
      <c r="F312" s="90"/>
      <c r="G312" s="91"/>
      <c r="H312" s="86"/>
      <c r="I312" s="86"/>
      <c r="J312" s="86"/>
      <c r="K312" s="87"/>
    </row>
    <row r="313" spans="1:17" ht="13.5" thickBot="1">
      <c r="A313" s="18"/>
      <c r="B313" s="21"/>
      <c r="C313" s="100">
        <f>SUM(C5:C312)</f>
        <v>1</v>
      </c>
      <c r="D313" s="119"/>
      <c r="E313" s="103">
        <f>SUM(E5:E312)</f>
        <v>1.0000000000000002</v>
      </c>
      <c r="F313" s="97"/>
      <c r="G313" s="120">
        <f>SUM(G5:G312)</f>
        <v>0</v>
      </c>
      <c r="H313" s="120">
        <f>SUM(H5:H311)</f>
        <v>0</v>
      </c>
      <c r="I313" s="120">
        <f>SUM(I5:I311)</f>
        <v>0</v>
      </c>
      <c r="L313" s="102">
        <f>SUM(L5:L312)</f>
        <v>0</v>
      </c>
      <c r="M313" s="102">
        <f>SUM(M5:M312)</f>
        <v>0</v>
      </c>
      <c r="N313" s="102">
        <f>SUM(N5:N312)</f>
        <v>0</v>
      </c>
      <c r="O313" s="102">
        <f>SUM(O5:O312)</f>
        <v>0</v>
      </c>
      <c r="P313" s="102">
        <f>SUM(P5:P312)</f>
        <v>0</v>
      </c>
    </row>
    <row r="314" spans="1:17" ht="13.5" thickTop="1">
      <c r="A314" s="18"/>
      <c r="B314" s="21"/>
      <c r="C314" s="94"/>
      <c r="E314" s="93"/>
      <c r="F314" s="93"/>
    </row>
    <row r="315" spans="1:17">
      <c r="A315" s="18"/>
      <c r="B315" s="21"/>
      <c r="C315" s="94"/>
      <c r="E315" s="96" t="s">
        <v>368</v>
      </c>
      <c r="F315" s="96"/>
      <c r="G315" s="95">
        <v>-1784800039</v>
      </c>
      <c r="H315" s="110" t="s">
        <v>445</v>
      </c>
      <c r="K315" s="108"/>
    </row>
    <row r="316" spans="1:17">
      <c r="A316" s="18"/>
      <c r="B316" s="21"/>
      <c r="C316" s="94"/>
      <c r="E316" s="96" t="s">
        <v>430</v>
      </c>
      <c r="F316" s="96"/>
      <c r="G316" s="95">
        <f>540362973-171300015</f>
        <v>369062958</v>
      </c>
      <c r="H316" s="110" t="s">
        <v>445</v>
      </c>
      <c r="I316" s="211"/>
      <c r="J316" s="210"/>
      <c r="K316" s="108"/>
      <c r="L316" s="211"/>
    </row>
    <row r="317" spans="1:17">
      <c r="A317" s="18"/>
      <c r="B317" s="21"/>
      <c r="C317" s="94"/>
      <c r="E317" s="96" t="s">
        <v>369</v>
      </c>
      <c r="F317" s="96"/>
      <c r="G317" s="104">
        <f>-1489537866+171300015</f>
        <v>-1318237851</v>
      </c>
      <c r="H317" s="110" t="s">
        <v>445</v>
      </c>
      <c r="I317" s="211"/>
      <c r="J317" s="210"/>
      <c r="K317" s="211"/>
      <c r="L317" s="211"/>
    </row>
    <row r="318" spans="1:17">
      <c r="A318" s="18"/>
      <c r="B318" s="21"/>
      <c r="C318" s="94"/>
      <c r="E318" s="96" t="s">
        <v>360</v>
      </c>
      <c r="F318" s="96"/>
      <c r="G318" s="95">
        <f>SUM(G315:G317)</f>
        <v>-2733974932</v>
      </c>
    </row>
    <row r="319" spans="1:17">
      <c r="A319" s="18"/>
      <c r="B319" s="21"/>
      <c r="C319" s="94"/>
      <c r="E319" s="93"/>
      <c r="F319" s="93"/>
    </row>
    <row r="321" spans="3:3">
      <c r="C321" s="8"/>
    </row>
  </sheetData>
  <pageMargins left="0.7" right="0.7" top="0.75" bottom="0.75" header="0.3" footer="0.75"/>
  <pageSetup scale="35" firstPageNumber="3" fitToHeight="0" orientation="portrait" useFirstPageNumber="1" r:id="rId1"/>
  <headerFooter differentOddEven="1">
    <oddHeader xml:space="preserve">&amp;L&amp;"Arial,Bold"&amp;14New Mexico Retiree Health Care Authority&amp;"Arial,Regular"&amp;18
&amp;"Arial,Bold"&amp;12Schedule of Employer Allocations
As of and for the Year Ended June 30, 2017
</oddHeader>
    <oddFooter>&amp;R&amp;"Arial,Regular"&amp;10&amp;P</oddFooter>
    <evenHeader xml:space="preserve">&amp;L&amp;"Arial,Bold"&amp;14New Mexico Retiree Health Care Authority&amp;"-,Regular"&amp;11
&amp;"Arial,Bold"&amp;12Schedule of Employer Allocations
As of and for the Year Ended June 30, 2017
</evenHeader>
    <evenFooter>&amp;R&amp;"Arial,Regular"&amp;10&amp;P</evenFooter>
  </headerFooter>
  <customProperties>
    <customPr name="OrphanNamesChecked" r:id="rId2"/>
  </customProperties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FAF6-E070-477F-B88F-2074DBE5BCEF}">
  <sheetPr>
    <tabColor rgb="FFFFC000"/>
  </sheetPr>
  <dimension ref="A1:H632"/>
  <sheetViews>
    <sheetView view="pageBreakPreview" topLeftCell="A235" zoomScale="85" zoomScaleNormal="100" zoomScaleSheetLayoutView="85" workbookViewId="0">
      <selection activeCell="B143" sqref="B143"/>
    </sheetView>
  </sheetViews>
  <sheetFormatPr defaultColWidth="9.42578125" defaultRowHeight="12.75"/>
  <cols>
    <col min="1" max="1" width="12.42578125" style="5" customWidth="1"/>
    <col min="2" max="2" width="67.5703125" style="5" customWidth="1"/>
    <col min="3" max="3" width="17.5703125" style="5" customWidth="1"/>
    <col min="4" max="4" width="15.5703125" style="5" customWidth="1"/>
    <col min="5" max="5" width="69.5703125" style="5" bestFit="1" customWidth="1"/>
    <col min="6" max="6" width="22.5703125" style="5" bestFit="1" customWidth="1"/>
    <col min="7" max="7" width="25.42578125" style="5" bestFit="1" customWidth="1"/>
    <col min="8" max="8" width="21.5703125" style="5" bestFit="1" customWidth="1"/>
    <col min="9" max="16384" width="9.42578125" style="5"/>
  </cols>
  <sheetData>
    <row r="1" spans="1:8" ht="18" customHeight="1">
      <c r="A1" s="282" t="s">
        <v>378</v>
      </c>
      <c r="B1" s="282"/>
      <c r="C1" s="282"/>
      <c r="D1" s="282"/>
    </row>
    <row r="2" spans="1:8" ht="15.75" customHeight="1">
      <c r="A2" s="283" t="s">
        <v>379</v>
      </c>
      <c r="B2" s="283"/>
      <c r="C2" s="283"/>
      <c r="D2" s="283"/>
    </row>
    <row r="3" spans="1:8" ht="15.75" customHeight="1">
      <c r="A3" s="283" t="s">
        <v>791</v>
      </c>
      <c r="B3" s="283"/>
      <c r="C3" s="283"/>
      <c r="D3" s="283"/>
    </row>
    <row r="4" spans="1:8" ht="10.35" customHeight="1"/>
    <row r="5" spans="1:8" ht="3.75" hidden="1" customHeight="1"/>
    <row r="6" spans="1:8" ht="44.25" customHeight="1">
      <c r="A6" s="44" t="s">
        <v>0</v>
      </c>
      <c r="B6" s="45" t="s">
        <v>1</v>
      </c>
      <c r="C6" s="44" t="s">
        <v>463</v>
      </c>
      <c r="D6" s="44" t="s">
        <v>2</v>
      </c>
    </row>
    <row r="7" spans="1:8">
      <c r="A7" s="16"/>
      <c r="B7" s="17"/>
      <c r="C7" s="16" t="s">
        <v>3</v>
      </c>
      <c r="D7" s="17" t="s">
        <v>4</v>
      </c>
    </row>
    <row r="8" spans="1:8">
      <c r="A8" s="16"/>
      <c r="B8" s="17"/>
      <c r="C8" s="16"/>
      <c r="D8" s="17"/>
    </row>
    <row r="9" spans="1:8">
      <c r="A9" s="183">
        <v>1341</v>
      </c>
      <c r="B9" s="184" t="s">
        <v>5</v>
      </c>
      <c r="C9" s="185">
        <f t="shared" ref="C9:C72" si="0">+VLOOKUP(A9,$D$321:$F$629,3,FALSE)</f>
        <v>30679831</v>
      </c>
      <c r="D9" s="186">
        <f t="shared" ref="D9:D72" si="1">+C9/$C$316</f>
        <v>0.24088926914915942</v>
      </c>
      <c r="E9" s="158"/>
      <c r="F9" s="150">
        <f>VLOOKUP(A9,'OPEB Amounts_Report'!$A$10:$A$319,1,FALSE)</f>
        <v>1341</v>
      </c>
      <c r="G9" s="86"/>
      <c r="H9" s="87"/>
    </row>
    <row r="10" spans="1:8">
      <c r="A10" s="10">
        <v>2308</v>
      </c>
      <c r="B10" s="11" t="s">
        <v>6</v>
      </c>
      <c r="C10" s="135">
        <f t="shared" si="0"/>
        <v>58318</v>
      </c>
      <c r="D10" s="137">
        <f t="shared" si="1"/>
        <v>4.5789627714183558E-4</v>
      </c>
      <c r="E10" s="158"/>
      <c r="F10" s="150">
        <f>VLOOKUP(A10,'OPEB Amounts_Report'!$A$10:$A$319,1,FALSE)</f>
        <v>2308</v>
      </c>
      <c r="G10" s="86"/>
      <c r="H10" s="87"/>
    </row>
    <row r="11" spans="1:8">
      <c r="A11" s="12">
        <v>2340</v>
      </c>
      <c r="B11" s="13" t="s">
        <v>7</v>
      </c>
      <c r="C11" s="136">
        <f t="shared" si="0"/>
        <v>56517</v>
      </c>
      <c r="D11" s="138">
        <f t="shared" si="1"/>
        <v>4.437553396074132E-4</v>
      </c>
      <c r="E11" s="158"/>
      <c r="F11" s="150">
        <f>VLOOKUP(A11,'OPEB Amounts_Report'!$A$10:$A$319,1,FALSE)</f>
        <v>2340</v>
      </c>
      <c r="G11" s="86"/>
      <c r="H11" s="87"/>
    </row>
    <row r="12" spans="1:8">
      <c r="A12" s="10">
        <v>1301</v>
      </c>
      <c r="B12" s="11" t="s">
        <v>8</v>
      </c>
      <c r="C12" s="135">
        <f t="shared" si="0"/>
        <v>65256</v>
      </c>
      <c r="D12" s="137">
        <f t="shared" si="1"/>
        <v>5.1237147126389148E-4</v>
      </c>
      <c r="E12" s="158"/>
      <c r="F12" s="150">
        <f>VLOOKUP(A12,'OPEB Amounts_Report'!$A$10:$A$319,1,FALSE)</f>
        <v>1301</v>
      </c>
      <c r="G12" s="86"/>
      <c r="H12" s="87"/>
    </row>
    <row r="13" spans="1:8">
      <c r="A13" s="12">
        <v>2390</v>
      </c>
      <c r="B13" s="13" t="s">
        <v>9</v>
      </c>
      <c r="C13" s="136">
        <f t="shared" si="0"/>
        <v>51993</v>
      </c>
      <c r="D13" s="138">
        <f t="shared" si="1"/>
        <v>4.0823418391295067E-4</v>
      </c>
      <c r="E13" s="158"/>
      <c r="F13" s="150">
        <f>VLOOKUP(A13,'OPEB Amounts_Report'!$A$10:$A$319,1,FALSE)</f>
        <v>2390</v>
      </c>
      <c r="G13" s="86"/>
      <c r="H13" s="87"/>
    </row>
    <row r="14" spans="1:8">
      <c r="A14" s="10">
        <v>2441</v>
      </c>
      <c r="B14" s="11" t="s">
        <v>408</v>
      </c>
      <c r="C14" s="135">
        <f t="shared" si="0"/>
        <v>23967</v>
      </c>
      <c r="D14" s="137">
        <f t="shared" si="1"/>
        <v>1.8818203769433749E-4</v>
      </c>
      <c r="E14" s="158"/>
      <c r="F14" s="150">
        <f>VLOOKUP(A14,'OPEB Amounts_Report'!$A$10:$A$319,1,FALSE)</f>
        <v>2441</v>
      </c>
      <c r="G14" s="86"/>
      <c r="H14" s="87"/>
    </row>
    <row r="15" spans="1:8">
      <c r="A15" s="12">
        <v>15046</v>
      </c>
      <c r="B15" s="13" t="s">
        <v>10</v>
      </c>
      <c r="C15" s="136">
        <f t="shared" si="0"/>
        <v>961525</v>
      </c>
      <c r="D15" s="138">
        <f t="shared" si="1"/>
        <v>7.5496196350835669E-3</v>
      </c>
      <c r="E15" s="158"/>
      <c r="F15" s="150">
        <f>VLOOKUP(A15,'OPEB Amounts_Report'!$A$10:$A$319,1,FALSE)</f>
        <v>15046</v>
      </c>
      <c r="G15" s="86"/>
      <c r="H15" s="87"/>
    </row>
    <row r="16" spans="1:8">
      <c r="A16" s="10">
        <v>4380</v>
      </c>
      <c r="B16" s="11" t="s">
        <v>11</v>
      </c>
      <c r="C16" s="135">
        <f t="shared" si="0"/>
        <v>787897</v>
      </c>
      <c r="D16" s="137">
        <f t="shared" si="1"/>
        <v>6.186342176878851E-3</v>
      </c>
      <c r="E16" s="158"/>
      <c r="F16" s="150">
        <f>VLOOKUP(A16,'OPEB Amounts_Report'!$A$10:$A$319,1,FALSE)</f>
        <v>4380</v>
      </c>
      <c r="G16" s="86"/>
      <c r="H16" s="87"/>
    </row>
    <row r="17" spans="1:8">
      <c r="A17" s="12">
        <v>2343</v>
      </c>
      <c r="B17" s="13" t="s">
        <v>409</v>
      </c>
      <c r="C17" s="136">
        <f t="shared" si="0"/>
        <v>75969</v>
      </c>
      <c r="D17" s="138">
        <f t="shared" si="1"/>
        <v>5.9648688703638859E-4</v>
      </c>
      <c r="E17" s="158"/>
      <c r="F17" s="150">
        <f>VLOOKUP(A17,'OPEB Amounts_Report'!$A$10:$A$319,1,FALSE)</f>
        <v>2343</v>
      </c>
      <c r="G17" s="86"/>
      <c r="H17" s="87"/>
    </row>
    <row r="18" spans="1:8">
      <c r="A18" s="10">
        <v>2435</v>
      </c>
      <c r="B18" s="11" t="s">
        <v>391</v>
      </c>
      <c r="C18" s="135">
        <f t="shared" si="0"/>
        <v>30149</v>
      </c>
      <c r="D18" s="137">
        <f t="shared" si="1"/>
        <v>2.3672133577196065E-4</v>
      </c>
      <c r="E18" s="158"/>
      <c r="F18" s="150">
        <f>VLOOKUP(A18,'OPEB Amounts_Report'!$A$10:$A$319,1,FALSE)</f>
        <v>2435</v>
      </c>
      <c r="G18" s="86"/>
      <c r="H18" s="87"/>
    </row>
    <row r="19" spans="1:8">
      <c r="A19" s="12">
        <v>4560</v>
      </c>
      <c r="B19" s="13" t="s">
        <v>12</v>
      </c>
      <c r="C19" s="136">
        <f t="shared" si="0"/>
        <v>76653</v>
      </c>
      <c r="D19" s="138">
        <f t="shared" si="1"/>
        <v>6.0185745964801813E-4</v>
      </c>
      <c r="E19" s="158"/>
      <c r="F19" s="150">
        <f>VLOOKUP(A19,'OPEB Amounts_Report'!$A$10:$A$319,1,FALSE)</f>
        <v>4560</v>
      </c>
      <c r="G19" s="86"/>
      <c r="H19" s="87"/>
    </row>
    <row r="20" spans="1:8">
      <c r="A20" s="10">
        <v>2341</v>
      </c>
      <c r="B20" s="11" t="s">
        <v>406</v>
      </c>
      <c r="C20" s="135">
        <f t="shared" si="0"/>
        <v>43421</v>
      </c>
      <c r="D20" s="137">
        <f t="shared" si="1"/>
        <v>3.4092928855200186E-4</v>
      </c>
      <c r="E20" s="158"/>
      <c r="F20" s="150">
        <f>VLOOKUP(A20,'OPEB Amounts_Report'!$A$10:$A$319,1,FALSE)</f>
        <v>2341</v>
      </c>
      <c r="G20" s="86"/>
      <c r="H20" s="87"/>
    </row>
    <row r="21" spans="1:8">
      <c r="A21" s="12">
        <v>4580</v>
      </c>
      <c r="B21" s="13" t="s">
        <v>392</v>
      </c>
      <c r="C21" s="136">
        <f t="shared" si="0"/>
        <v>44516</v>
      </c>
      <c r="D21" s="138">
        <f t="shared" si="1"/>
        <v>3.4952691575921592E-4</v>
      </c>
      <c r="E21" s="158"/>
      <c r="F21" s="150">
        <f>VLOOKUP(A21,'OPEB Amounts_Report'!$A$10:$A$319,1,FALSE)</f>
        <v>4580</v>
      </c>
      <c r="G21" s="86"/>
      <c r="H21" s="87"/>
    </row>
    <row r="22" spans="1:8">
      <c r="A22" s="10">
        <v>2003</v>
      </c>
      <c r="B22" s="11" t="s">
        <v>13</v>
      </c>
      <c r="C22" s="135">
        <f t="shared" si="0"/>
        <v>14087128</v>
      </c>
      <c r="D22" s="137">
        <f t="shared" si="1"/>
        <v>0.11060810499023478</v>
      </c>
      <c r="E22" s="158"/>
      <c r="F22" s="150">
        <f>VLOOKUP(A22,'OPEB Amounts_Report'!$A$10:$A$319,1,FALSE)</f>
        <v>2003</v>
      </c>
      <c r="G22" s="86"/>
      <c r="H22" s="87"/>
    </row>
    <row r="23" spans="1:8">
      <c r="A23" s="12">
        <v>2412</v>
      </c>
      <c r="B23" s="13" t="s">
        <v>14</v>
      </c>
      <c r="C23" s="136">
        <f t="shared" si="0"/>
        <v>136033</v>
      </c>
      <c r="D23" s="138">
        <f t="shared" si="1"/>
        <v>1.0680922574236996E-3</v>
      </c>
      <c r="E23" s="158"/>
      <c r="F23" s="150">
        <f>VLOOKUP(A23,'OPEB Amounts_Report'!$A$10:$A$319,1,FALSE)</f>
        <v>2412</v>
      </c>
      <c r="G23" s="86"/>
      <c r="H23" s="87"/>
    </row>
    <row r="24" spans="1:8">
      <c r="A24" s="10">
        <v>2402</v>
      </c>
      <c r="B24" s="11" t="s">
        <v>15</v>
      </c>
      <c r="C24" s="135">
        <f t="shared" si="0"/>
        <v>67533</v>
      </c>
      <c r="D24" s="137">
        <f t="shared" si="1"/>
        <v>5.3024982482629006E-4</v>
      </c>
      <c r="E24" s="158"/>
      <c r="F24" s="150">
        <f>VLOOKUP(A24,'OPEB Amounts_Report'!$A$10:$A$319,1,FALSE)</f>
        <v>2402</v>
      </c>
      <c r="G24" s="86"/>
      <c r="H24" s="87"/>
    </row>
    <row r="25" spans="1:8">
      <c r="A25" s="12">
        <v>2361</v>
      </c>
      <c r="B25" s="13" t="s">
        <v>16</v>
      </c>
      <c r="C25" s="136">
        <f t="shared" si="0"/>
        <v>22735</v>
      </c>
      <c r="D25" s="138">
        <f t="shared" si="1"/>
        <v>1.7850872562192861E-4</v>
      </c>
      <c r="E25" s="158"/>
      <c r="F25" s="150">
        <f>VLOOKUP(A25,'OPEB Amounts_Report'!$A$10:$A$319,1,FALSE)</f>
        <v>2361</v>
      </c>
      <c r="G25" s="86"/>
      <c r="H25" s="87"/>
    </row>
    <row r="26" spans="1:8">
      <c r="A26" s="10">
        <v>8347</v>
      </c>
      <c r="B26" s="11" t="s">
        <v>17</v>
      </c>
      <c r="C26" s="135">
        <f t="shared" si="0"/>
        <v>42942</v>
      </c>
      <c r="D26" s="137">
        <f t="shared" si="1"/>
        <v>3.371683173809922E-4</v>
      </c>
      <c r="E26" s="158"/>
      <c r="F26" s="150">
        <f>VLOOKUP(A26,'OPEB Amounts_Report'!$A$10:$A$319,1,FALSE)</f>
        <v>8347</v>
      </c>
      <c r="G26" s="86"/>
      <c r="H26" s="87"/>
    </row>
    <row r="27" spans="1:8">
      <c r="A27" s="12">
        <v>2356</v>
      </c>
      <c r="B27" s="13" t="s">
        <v>18</v>
      </c>
      <c r="C27" s="136">
        <f t="shared" si="0"/>
        <v>77333</v>
      </c>
      <c r="D27" s="138">
        <f t="shared" si="1"/>
        <v>6.0719662540226985E-4</v>
      </c>
      <c r="E27" s="158"/>
      <c r="F27" s="150">
        <f>VLOOKUP(A27,'OPEB Amounts_Report'!$A$10:$A$319,1,FALSE)</f>
        <v>2356</v>
      </c>
      <c r="G27" s="86"/>
      <c r="H27" s="87"/>
    </row>
    <row r="28" spans="1:8">
      <c r="A28" s="10">
        <v>7335</v>
      </c>
      <c r="B28" s="11" t="s">
        <v>19</v>
      </c>
      <c r="C28" s="135">
        <f t="shared" si="0"/>
        <v>21347</v>
      </c>
      <c r="D28" s="137">
        <f t="shared" si="1"/>
        <v>1.6761054611177963E-4</v>
      </c>
      <c r="E28" s="158"/>
      <c r="F28" s="150">
        <f>VLOOKUP(A28,'OPEB Amounts_Report'!$A$10:$A$319,1,FALSE)</f>
        <v>7335</v>
      </c>
      <c r="G28" s="86"/>
      <c r="H28" s="87"/>
    </row>
    <row r="29" spans="1:8">
      <c r="A29" s="12">
        <v>575</v>
      </c>
      <c r="B29" s="13" t="s">
        <v>393</v>
      </c>
      <c r="C29" s="136">
        <f t="shared" si="0"/>
        <v>27670</v>
      </c>
      <c r="D29" s="138">
        <f t="shared" si="1"/>
        <v>2.1725693591197556E-4</v>
      </c>
      <c r="E29" s="158"/>
      <c r="F29" s="150" t="e">
        <f>VLOOKUP(A29,'OPEB Amounts_Report'!$A$10:$A$319,1,FALSE)</f>
        <v>#N/A</v>
      </c>
      <c r="G29" s="86"/>
      <c r="H29" s="87"/>
    </row>
    <row r="30" spans="1:8">
      <c r="A30" s="10">
        <v>2303</v>
      </c>
      <c r="B30" s="11" t="s">
        <v>20</v>
      </c>
      <c r="C30" s="135">
        <f t="shared" si="0"/>
        <v>47813</v>
      </c>
      <c r="D30" s="137">
        <f t="shared" si="1"/>
        <v>3.7541401795299198E-4</v>
      </c>
      <c r="E30" s="158"/>
      <c r="F30" s="150">
        <f>VLOOKUP(A30,'OPEB Amounts_Report'!$A$10:$A$319,1,FALSE)</f>
        <v>2303</v>
      </c>
      <c r="G30" s="86"/>
      <c r="H30" s="87"/>
    </row>
    <row r="31" spans="1:8">
      <c r="A31" s="12">
        <v>20316</v>
      </c>
      <c r="B31" s="13" t="s">
        <v>21</v>
      </c>
      <c r="C31" s="136">
        <f t="shared" si="0"/>
        <v>33803</v>
      </c>
      <c r="D31" s="138">
        <f t="shared" si="1"/>
        <v>2.6541149998671881E-4</v>
      </c>
      <c r="E31" s="158"/>
      <c r="F31" s="150">
        <f>VLOOKUP(A31,'OPEB Amounts_Report'!$A$10:$A$319,1,FALSE)</f>
        <v>20316</v>
      </c>
      <c r="G31" s="86"/>
      <c r="H31" s="87"/>
    </row>
    <row r="32" spans="1:8">
      <c r="A32" s="10">
        <v>23121</v>
      </c>
      <c r="B32" s="11" t="s">
        <v>22</v>
      </c>
      <c r="C32" s="135">
        <f t="shared" si="0"/>
        <v>41285</v>
      </c>
      <c r="D32" s="137">
        <f t="shared" si="1"/>
        <v>3.2415802671217605E-4</v>
      </c>
      <c r="E32" s="158"/>
      <c r="F32" s="150">
        <f>VLOOKUP(A32,'OPEB Amounts_Report'!$A$10:$A$319,1,FALSE)</f>
        <v>23121</v>
      </c>
      <c r="G32" s="86"/>
      <c r="H32" s="87"/>
    </row>
    <row r="33" spans="1:8">
      <c r="A33" s="12">
        <v>3004</v>
      </c>
      <c r="B33" s="13" t="s">
        <v>23</v>
      </c>
      <c r="C33" s="136">
        <f t="shared" si="0"/>
        <v>603295</v>
      </c>
      <c r="D33" s="138">
        <f t="shared" si="1"/>
        <v>4.7369000054577268E-3</v>
      </c>
      <c r="E33" s="158"/>
      <c r="F33" s="150">
        <f>VLOOKUP(A33,'OPEB Amounts_Report'!$A$10:$A$319,1,FALSE)</f>
        <v>3004</v>
      </c>
      <c r="G33" s="86"/>
      <c r="H33" s="87"/>
    </row>
    <row r="34" spans="1:8">
      <c r="A34" s="10">
        <v>16050</v>
      </c>
      <c r="B34" s="11" t="s">
        <v>24</v>
      </c>
      <c r="C34" s="135">
        <f t="shared" si="0"/>
        <v>395643</v>
      </c>
      <c r="D34" s="137">
        <f t="shared" si="1"/>
        <v>3.1064758183961599E-3</v>
      </c>
      <c r="E34" s="158"/>
      <c r="F34" s="150">
        <f>VLOOKUP(A34,'OPEB Amounts_Report'!$A$10:$A$319,1,FALSE)</f>
        <v>16050</v>
      </c>
      <c r="G34" s="86"/>
      <c r="H34" s="87"/>
    </row>
    <row r="35" spans="1:8">
      <c r="A35" s="12">
        <v>14043</v>
      </c>
      <c r="B35" s="13" t="s">
        <v>25</v>
      </c>
      <c r="C35" s="136">
        <f t="shared" si="0"/>
        <v>604735</v>
      </c>
      <c r="D35" s="138">
        <f t="shared" si="1"/>
        <v>4.7482064741137886E-3</v>
      </c>
      <c r="E35" s="158"/>
      <c r="F35" s="150">
        <f>VLOOKUP(A35,'OPEB Amounts_Report'!$A$10:$A$319,1,FALSE)</f>
        <v>14043</v>
      </c>
      <c r="G35" s="86"/>
      <c r="H35" s="87"/>
    </row>
    <row r="36" spans="1:8">
      <c r="A36" s="10">
        <v>3010</v>
      </c>
      <c r="B36" s="11" t="s">
        <v>26</v>
      </c>
      <c r="C36" s="135">
        <f t="shared" si="0"/>
        <v>3693592</v>
      </c>
      <c r="D36" s="137">
        <f t="shared" si="1"/>
        <v>2.9001029289085132E-2</v>
      </c>
      <c r="E36" s="158"/>
      <c r="F36" s="150" t="e">
        <f>VLOOKUP(A36,'OPEB Amounts_Report'!$A$10:$A$319,1,FALSE)</f>
        <v>#N/A</v>
      </c>
      <c r="G36" s="86"/>
      <c r="H36" s="87"/>
    </row>
    <row r="37" spans="1:8">
      <c r="A37" s="12">
        <v>29086</v>
      </c>
      <c r="B37" s="13" t="s">
        <v>27</v>
      </c>
      <c r="C37" s="136">
        <f t="shared" si="0"/>
        <v>685763</v>
      </c>
      <c r="D37" s="138">
        <f t="shared" si="1"/>
        <v>5.3844151840189407E-3</v>
      </c>
      <c r="E37" s="158"/>
      <c r="F37" s="150">
        <f>VLOOKUP(A37,'OPEB Amounts_Report'!$A$10:$A$319,1,FALSE)</f>
        <v>29086</v>
      </c>
      <c r="G37" s="86"/>
      <c r="H37" s="87"/>
    </row>
    <row r="38" spans="1:8">
      <c r="A38" s="10">
        <v>16051</v>
      </c>
      <c r="B38" s="11" t="s">
        <v>28</v>
      </c>
      <c r="C38" s="135">
        <f t="shared" si="0"/>
        <v>475580</v>
      </c>
      <c r="D38" s="137">
        <f t="shared" si="1"/>
        <v>3.7341183079514758E-3</v>
      </c>
      <c r="E38" s="158"/>
      <c r="F38" s="150">
        <f>VLOOKUP(A38,'OPEB Amounts_Report'!$A$10:$A$319,1,FALSE)</f>
        <v>16051</v>
      </c>
      <c r="G38" s="86"/>
      <c r="H38" s="87"/>
    </row>
    <row r="39" spans="1:8">
      <c r="A39" s="12">
        <v>26077</v>
      </c>
      <c r="B39" s="13" t="s">
        <v>29</v>
      </c>
      <c r="C39" s="136">
        <f t="shared" si="0"/>
        <v>97057</v>
      </c>
      <c r="D39" s="138">
        <f t="shared" si="1"/>
        <v>7.6206383913294585E-4</v>
      </c>
      <c r="E39" s="158"/>
      <c r="F39" s="150">
        <f>VLOOKUP(A39,'OPEB Amounts_Report'!$A$10:$A$319,1,FALSE)</f>
        <v>26077</v>
      </c>
      <c r="G39" s="86"/>
      <c r="H39" s="87"/>
    </row>
    <row r="40" spans="1:8">
      <c r="A40" s="10">
        <v>3005</v>
      </c>
      <c r="B40" s="11" t="s">
        <v>30</v>
      </c>
      <c r="C40" s="135">
        <f t="shared" si="0"/>
        <v>1220090</v>
      </c>
      <c r="D40" s="137">
        <f t="shared" si="1"/>
        <v>9.5797981545660375E-3</v>
      </c>
      <c r="E40" s="158"/>
      <c r="F40" s="150">
        <f>VLOOKUP(A40,'OPEB Amounts_Report'!$A$10:$A$319,1,FALSE)</f>
        <v>3005</v>
      </c>
      <c r="G40" s="86"/>
      <c r="H40" s="87"/>
    </row>
    <row r="41" spans="1:8">
      <c r="A41" s="12">
        <v>26078</v>
      </c>
      <c r="B41" s="13" t="s">
        <v>31</v>
      </c>
      <c r="C41" s="136">
        <f t="shared" si="0"/>
        <v>39156</v>
      </c>
      <c r="D41" s="138">
        <f t="shared" si="1"/>
        <v>3.0744172687276167E-4</v>
      </c>
      <c r="E41" s="158"/>
      <c r="F41" s="150">
        <f>VLOOKUP(A41,'OPEB Amounts_Report'!$A$10:$A$319,1,FALSE)</f>
        <v>26078</v>
      </c>
      <c r="G41" s="86"/>
      <c r="H41" s="87"/>
    </row>
    <row r="42" spans="1:8">
      <c r="A42" s="10">
        <v>16053</v>
      </c>
      <c r="B42" s="11" t="s">
        <v>32</v>
      </c>
      <c r="C42" s="135">
        <f t="shared" si="0"/>
        <v>1186851</v>
      </c>
      <c r="D42" s="137">
        <f t="shared" si="1"/>
        <v>9.3188150214696102E-3</v>
      </c>
      <c r="E42" s="158"/>
      <c r="F42" s="150">
        <f>VLOOKUP(A42,'OPEB Amounts_Report'!$A$10:$A$319,1,FALSE)</f>
        <v>16053</v>
      </c>
      <c r="G42" s="86"/>
      <c r="H42" s="87"/>
    </row>
    <row r="43" spans="1:8">
      <c r="A43" s="12">
        <v>2123</v>
      </c>
      <c r="B43" s="13" t="s">
        <v>33</v>
      </c>
      <c r="C43" s="136">
        <f t="shared" si="0"/>
        <v>2007551</v>
      </c>
      <c r="D43" s="138">
        <f t="shared" si="1"/>
        <v>1.5762716983990691E-2</v>
      </c>
      <c r="E43" s="158"/>
      <c r="F43" s="150">
        <f>VLOOKUP(A43,'OPEB Amounts_Report'!$A$10:$A$319,1,FALSE)</f>
        <v>2123</v>
      </c>
      <c r="G43" s="86"/>
      <c r="H43" s="87"/>
    </row>
    <row r="44" spans="1:8">
      <c r="A44" s="10">
        <v>2150</v>
      </c>
      <c r="B44" s="11" t="s">
        <v>34</v>
      </c>
      <c r="C44" s="135">
        <f t="shared" si="0"/>
        <v>169184</v>
      </c>
      <c r="D44" s="137">
        <f t="shared" si="1"/>
        <v>1.3283844396578125E-3</v>
      </c>
      <c r="E44" s="158"/>
      <c r="F44" s="150">
        <f>VLOOKUP(A44,'OPEB Amounts_Report'!$A$10:$A$319,1,FALSE)</f>
        <v>2150</v>
      </c>
      <c r="G44" s="86"/>
      <c r="H44" s="87"/>
    </row>
    <row r="45" spans="1:8">
      <c r="A45" s="12">
        <v>2336</v>
      </c>
      <c r="B45" s="13" t="s">
        <v>35</v>
      </c>
      <c r="C45" s="136">
        <f t="shared" si="0"/>
        <v>31859</v>
      </c>
      <c r="D45" s="138">
        <f t="shared" si="1"/>
        <v>2.5014776730103466E-4</v>
      </c>
      <c r="E45" s="158"/>
      <c r="F45" s="150">
        <f>VLOOKUP(A45,'OPEB Amounts_Report'!$A$10:$A$319,1,FALSE)</f>
        <v>2336</v>
      </c>
      <c r="G45" s="86"/>
      <c r="H45" s="87"/>
    </row>
    <row r="46" spans="1:8">
      <c r="A46" s="10">
        <v>17126</v>
      </c>
      <c r="B46" s="11" t="s">
        <v>36</v>
      </c>
      <c r="C46" s="135">
        <f t="shared" si="0"/>
        <v>87420</v>
      </c>
      <c r="D46" s="137">
        <f t="shared" si="1"/>
        <v>6.8639686799511755E-4</v>
      </c>
      <c r="E46" s="158"/>
      <c r="F46" s="150">
        <f>VLOOKUP(A46,'OPEB Amounts_Report'!$A$10:$A$319,1,FALSE)</f>
        <v>17126</v>
      </c>
      <c r="G46" s="86"/>
      <c r="H46" s="87"/>
    </row>
    <row r="47" spans="1:8">
      <c r="A47" s="12">
        <v>3030</v>
      </c>
      <c r="B47" s="13" t="s">
        <v>37</v>
      </c>
      <c r="C47" s="136">
        <f t="shared" si="0"/>
        <v>225300</v>
      </c>
      <c r="D47" s="138">
        <f t="shared" si="1"/>
        <v>1.7689912418130862E-3</v>
      </c>
      <c r="E47" s="158"/>
      <c r="F47" s="150">
        <f>VLOOKUP(A47,'OPEB Amounts_Report'!$A$10:$A$319,1,FALSE)</f>
        <v>3030</v>
      </c>
      <c r="G47" s="86"/>
      <c r="H47" s="87"/>
    </row>
    <row r="48" spans="1:8">
      <c r="A48" s="10">
        <v>2353</v>
      </c>
      <c r="B48" s="11" t="s">
        <v>38</v>
      </c>
      <c r="C48" s="135">
        <f t="shared" si="0"/>
        <v>97864</v>
      </c>
      <c r="D48" s="137">
        <f t="shared" si="1"/>
        <v>7.6840017260894746E-4</v>
      </c>
      <c r="E48" s="158"/>
      <c r="F48" s="150">
        <f>VLOOKUP(A48,'OPEB Amounts_Report'!$A$10:$A$319,1,FALSE)</f>
        <v>2353</v>
      </c>
      <c r="G48" s="86"/>
      <c r="H48" s="87"/>
    </row>
    <row r="49" spans="1:8">
      <c r="A49" s="12">
        <v>3040</v>
      </c>
      <c r="B49" s="13" t="s">
        <v>39</v>
      </c>
      <c r="C49" s="136">
        <f t="shared" si="0"/>
        <v>104754</v>
      </c>
      <c r="D49" s="138">
        <f t="shared" si="1"/>
        <v>8.2249848444246798E-4</v>
      </c>
      <c r="E49" s="158"/>
      <c r="F49" s="150">
        <f>VLOOKUP(A49,'OPEB Amounts_Report'!$A$10:$A$319,1,FALSE)</f>
        <v>3040</v>
      </c>
      <c r="G49" s="86"/>
      <c r="H49" s="87"/>
    </row>
    <row r="50" spans="1:8">
      <c r="A50" s="10">
        <v>2367</v>
      </c>
      <c r="B50" s="11" t="s">
        <v>40</v>
      </c>
      <c r="C50" s="135">
        <f t="shared" si="0"/>
        <v>83979</v>
      </c>
      <c r="D50" s="137">
        <f t="shared" si="1"/>
        <v>6.5937911893573526E-4</v>
      </c>
      <c r="E50" s="158"/>
      <c r="F50" s="150">
        <f>VLOOKUP(A50,'OPEB Amounts_Report'!$A$10:$A$319,1,FALSE)</f>
        <v>2367</v>
      </c>
      <c r="G50" s="86"/>
      <c r="H50" s="87"/>
    </row>
    <row r="51" spans="1:8">
      <c r="A51" s="12">
        <v>9027</v>
      </c>
      <c r="B51" s="13" t="s">
        <v>41</v>
      </c>
      <c r="C51" s="136">
        <f t="shared" si="0"/>
        <v>89169</v>
      </c>
      <c r="D51" s="138">
        <f t="shared" si="1"/>
        <v>7.0012951638362658E-4</v>
      </c>
      <c r="E51" s="158"/>
      <c r="F51" s="150">
        <f>VLOOKUP(A51,'OPEB Amounts_Report'!$A$10:$A$319,1,FALSE)</f>
        <v>9027</v>
      </c>
      <c r="G51" s="86"/>
      <c r="H51" s="87"/>
    </row>
    <row r="52" spans="1:8">
      <c r="A52" s="10">
        <v>2010</v>
      </c>
      <c r="B52" s="11" t="s">
        <v>42</v>
      </c>
      <c r="C52" s="135">
        <f t="shared" si="0"/>
        <v>333647</v>
      </c>
      <c r="D52" s="137">
        <f t="shared" si="1"/>
        <v>2.6197009358952983E-3</v>
      </c>
      <c r="E52" s="158"/>
      <c r="F52" s="150">
        <f>VLOOKUP(A52,'OPEB Amounts_Report'!$A$10:$A$319,1,FALSE)</f>
        <v>2010</v>
      </c>
      <c r="G52" s="86"/>
      <c r="H52" s="87"/>
    </row>
    <row r="53" spans="1:8">
      <c r="A53" s="12">
        <v>2020</v>
      </c>
      <c r="B53" s="13" t="s">
        <v>43</v>
      </c>
      <c r="C53" s="136">
        <f t="shared" si="0"/>
        <v>8280642</v>
      </c>
      <c r="D53" s="138">
        <f t="shared" si="1"/>
        <v>6.5017235572967583E-2</v>
      </c>
      <c r="E53" s="158"/>
      <c r="F53" s="150">
        <f>VLOOKUP(A53,'OPEB Amounts_Report'!$A$10:$A$319,1,FALSE)</f>
        <v>2020</v>
      </c>
      <c r="G53" s="86"/>
      <c r="H53" s="87"/>
    </row>
    <row r="54" spans="1:8">
      <c r="A54" s="10">
        <v>2040</v>
      </c>
      <c r="B54" s="11" t="s">
        <v>44</v>
      </c>
      <c r="C54" s="135">
        <f t="shared" si="0"/>
        <v>112591</v>
      </c>
      <c r="D54" s="137">
        <f t="shared" si="1"/>
        <v>8.840323697602183E-4</v>
      </c>
      <c r="E54" s="158"/>
      <c r="F54" s="150">
        <f>VLOOKUP(A54,'OPEB Amounts_Report'!$A$10:$A$319,1,FALSE)</f>
        <v>2040</v>
      </c>
      <c r="G54" s="86"/>
      <c r="H54" s="87"/>
    </row>
    <row r="55" spans="1:8">
      <c r="A55" s="12">
        <v>2060</v>
      </c>
      <c r="B55" s="13" t="s">
        <v>45</v>
      </c>
      <c r="C55" s="136">
        <f t="shared" si="0"/>
        <v>162512</v>
      </c>
      <c r="D55" s="138">
        <f t="shared" si="1"/>
        <v>1.2759978015513904E-3</v>
      </c>
      <c r="E55" s="158"/>
      <c r="F55" s="150">
        <f>VLOOKUP(A55,'OPEB Amounts_Report'!$A$10:$A$319,1,FALSE)</f>
        <v>2060</v>
      </c>
      <c r="G55" s="86"/>
      <c r="H55" s="87"/>
    </row>
    <row r="56" spans="1:8">
      <c r="A56" s="10">
        <v>2090</v>
      </c>
      <c r="B56" s="11" t="s">
        <v>46</v>
      </c>
      <c r="C56" s="135">
        <f t="shared" si="0"/>
        <v>96193</v>
      </c>
      <c r="D56" s="137">
        <f t="shared" si="1"/>
        <v>7.5527995793930847E-4</v>
      </c>
      <c r="E56" s="158"/>
      <c r="F56" s="150">
        <f>VLOOKUP(A56,'OPEB Amounts_Report'!$A$10:$A$319,1,FALSE)</f>
        <v>2090</v>
      </c>
      <c r="G56" s="86"/>
      <c r="H56" s="87"/>
    </row>
    <row r="57" spans="1:8">
      <c r="A57" s="12">
        <v>2110</v>
      </c>
      <c r="B57" s="43" t="s">
        <v>47</v>
      </c>
      <c r="C57" s="156">
        <f t="shared" si="0"/>
        <v>661744</v>
      </c>
      <c r="D57" s="140">
        <f t="shared" si="1"/>
        <v>5.1958248571786899E-3</v>
      </c>
      <c r="E57" s="158"/>
      <c r="F57" s="150">
        <f>VLOOKUP(A57,'OPEB Amounts_Report'!$A$10:$A$319,1,FALSE)</f>
        <v>2110</v>
      </c>
      <c r="G57" s="86"/>
      <c r="H57" s="87"/>
    </row>
    <row r="58" spans="1:8">
      <c r="A58" s="10">
        <v>2180</v>
      </c>
      <c r="B58" s="11" t="s">
        <v>48</v>
      </c>
      <c r="C58" s="135">
        <f t="shared" si="0"/>
        <v>330494</v>
      </c>
      <c r="D58" s="137">
        <f t="shared" si="1"/>
        <v>2.5949444805671287E-3</v>
      </c>
      <c r="E58" s="158"/>
      <c r="F58" s="150">
        <f>VLOOKUP(A58,'OPEB Amounts_Report'!$A$10:$A$319,1,FALSE)</f>
        <v>2180</v>
      </c>
      <c r="G58" s="86"/>
      <c r="H58" s="87"/>
    </row>
    <row r="59" spans="1:8">
      <c r="A59" s="12">
        <v>2210</v>
      </c>
      <c r="B59" s="13" t="s">
        <v>49</v>
      </c>
      <c r="C59" s="136">
        <f t="shared" si="0"/>
        <v>149140</v>
      </c>
      <c r="D59" s="138">
        <f t="shared" si="1"/>
        <v>1.1710046773369003E-3</v>
      </c>
      <c r="E59" s="158"/>
      <c r="F59" s="150">
        <f>VLOOKUP(A59,'OPEB Amounts_Report'!$A$10:$A$319,1,FALSE)</f>
        <v>2210</v>
      </c>
      <c r="G59" s="86"/>
      <c r="H59" s="87"/>
    </row>
    <row r="60" spans="1:8">
      <c r="A60" s="10">
        <v>2290</v>
      </c>
      <c r="B60" s="11" t="s">
        <v>50</v>
      </c>
      <c r="C60" s="135">
        <f t="shared" si="0"/>
        <v>160562</v>
      </c>
      <c r="D60" s="137">
        <f t="shared" si="1"/>
        <v>1.2606869585796393E-3</v>
      </c>
      <c r="E60" s="158"/>
      <c r="F60" s="150">
        <f>VLOOKUP(A60,'OPEB Amounts_Report'!$A$10:$A$319,1,FALSE)</f>
        <v>2290</v>
      </c>
      <c r="G60" s="86"/>
      <c r="H60" s="87"/>
    </row>
    <row r="61" spans="1:8">
      <c r="A61" s="12">
        <v>2310</v>
      </c>
      <c r="B61" s="13" t="s">
        <v>51</v>
      </c>
      <c r="C61" s="136">
        <f t="shared" si="0"/>
        <v>1162197</v>
      </c>
      <c r="D61" s="138">
        <f t="shared" si="1"/>
        <v>9.1252388560206094E-3</v>
      </c>
      <c r="E61" s="158"/>
      <c r="F61" s="150">
        <f>VLOOKUP(A61,'OPEB Amounts_Report'!$A$10:$A$319,1,FALSE)</f>
        <v>2310</v>
      </c>
      <c r="G61" s="86"/>
      <c r="H61" s="87"/>
    </row>
    <row r="62" spans="1:8">
      <c r="A62" s="10">
        <v>2330</v>
      </c>
      <c r="B62" s="11" t="s">
        <v>52</v>
      </c>
      <c r="C62" s="135">
        <f t="shared" si="0"/>
        <v>367333</v>
      </c>
      <c r="D62" s="137">
        <f t="shared" si="1"/>
        <v>2.8841937853037124E-3</v>
      </c>
      <c r="E62" s="158"/>
      <c r="F62" s="150">
        <f>VLOOKUP(A62,'OPEB Amounts_Report'!$A$10:$A$319,1,FALSE)</f>
        <v>2330</v>
      </c>
      <c r="G62" s="86"/>
      <c r="H62" s="87"/>
    </row>
    <row r="63" spans="1:8">
      <c r="A63" s="12">
        <v>2380</v>
      </c>
      <c r="B63" s="13" t="s">
        <v>53</v>
      </c>
      <c r="C63" s="136">
        <f t="shared" si="0"/>
        <v>72537</v>
      </c>
      <c r="D63" s="138">
        <f t="shared" si="1"/>
        <v>5.6953980340610671E-4</v>
      </c>
      <c r="E63" s="158"/>
      <c r="F63" s="150">
        <f>VLOOKUP(A63,'OPEB Amounts_Report'!$A$10:$A$319,1,FALSE)</f>
        <v>2380</v>
      </c>
      <c r="G63" s="86"/>
      <c r="H63" s="87"/>
    </row>
    <row r="64" spans="1:8">
      <c r="A64" s="10">
        <v>2400</v>
      </c>
      <c r="B64" s="11" t="s">
        <v>54</v>
      </c>
      <c r="C64" s="135">
        <f t="shared" si="0"/>
        <v>2042598</v>
      </c>
      <c r="D64" s="137">
        <f t="shared" si="1"/>
        <v>1.6037896016621953E-2</v>
      </c>
      <c r="E64" s="158"/>
      <c r="F64" s="150">
        <f>VLOOKUP(A64,'OPEB Amounts_Report'!$A$10:$A$319,1,FALSE)</f>
        <v>2400</v>
      </c>
      <c r="G64" s="86"/>
      <c r="H64" s="87"/>
    </row>
    <row r="65" spans="1:8">
      <c r="A65" s="12">
        <v>2410</v>
      </c>
      <c r="B65" s="13" t="s">
        <v>55</v>
      </c>
      <c r="C65" s="136">
        <f t="shared" si="0"/>
        <v>203269</v>
      </c>
      <c r="D65" s="138">
        <f t="shared" si="1"/>
        <v>1.5960101230896768E-3</v>
      </c>
      <c r="E65" s="158"/>
      <c r="F65" s="150">
        <f>VLOOKUP(A65,'OPEB Amounts_Report'!$A$10:$A$319,1,FALSE)</f>
        <v>2410</v>
      </c>
      <c r="G65" s="86"/>
      <c r="H65" s="87"/>
    </row>
    <row r="66" spans="1:8">
      <c r="A66" s="10">
        <v>2500</v>
      </c>
      <c r="B66" s="11" t="s">
        <v>56</v>
      </c>
      <c r="C66" s="135">
        <f t="shared" si="0"/>
        <v>37323</v>
      </c>
      <c r="D66" s="137">
        <f t="shared" si="1"/>
        <v>2.9304953447931566E-4</v>
      </c>
      <c r="E66" s="158"/>
      <c r="F66" s="150">
        <f>VLOOKUP(A66,'OPEB Amounts_Report'!$A$10:$A$319,1,FALSE)</f>
        <v>2500</v>
      </c>
      <c r="G66" s="86"/>
      <c r="H66" s="87"/>
    </row>
    <row r="67" spans="1:8">
      <c r="A67" s="12">
        <v>2550</v>
      </c>
      <c r="B67" s="13" t="s">
        <v>57</v>
      </c>
      <c r="C67" s="136">
        <f t="shared" si="0"/>
        <v>138774</v>
      </c>
      <c r="D67" s="138">
        <f t="shared" si="1"/>
        <v>1.0896138064419407E-3</v>
      </c>
      <c r="E67" s="158"/>
      <c r="F67" s="150">
        <f>VLOOKUP(A67,'OPEB Amounts_Report'!$A$10:$A$319,1,FALSE)</f>
        <v>2550</v>
      </c>
      <c r="G67" s="86"/>
      <c r="H67" s="87"/>
    </row>
    <row r="68" spans="1:8">
      <c r="A68" s="10">
        <v>2570</v>
      </c>
      <c r="B68" s="11" t="s">
        <v>58</v>
      </c>
      <c r="C68" s="135">
        <f t="shared" si="0"/>
        <v>87845</v>
      </c>
      <c r="D68" s="137">
        <f t="shared" si="1"/>
        <v>6.8973384659152485E-4</v>
      </c>
      <c r="E68" s="158"/>
      <c r="F68" s="150">
        <f>VLOOKUP(A68,'OPEB Amounts_Report'!$A$10:$A$319,1,FALSE)</f>
        <v>2570</v>
      </c>
      <c r="G68" s="86"/>
      <c r="H68" s="87"/>
    </row>
    <row r="69" spans="1:8">
      <c r="A69" s="12">
        <v>2620</v>
      </c>
      <c r="B69" s="13" t="s">
        <v>59</v>
      </c>
      <c r="C69" s="136">
        <f t="shared" si="0"/>
        <v>916628</v>
      </c>
      <c r="D69" s="138">
        <f t="shared" si="1"/>
        <v>7.1971012161591011E-3</v>
      </c>
      <c r="E69" s="158"/>
      <c r="F69" s="150">
        <f>VLOOKUP(A69,'OPEB Amounts_Report'!$A$10:$A$319,1,FALSE)</f>
        <v>2620</v>
      </c>
      <c r="G69" s="86"/>
      <c r="H69" s="87"/>
    </row>
    <row r="70" spans="1:8">
      <c r="A70" s="10">
        <v>2630</v>
      </c>
      <c r="B70" s="11" t="s">
        <v>60</v>
      </c>
      <c r="C70" s="135">
        <f t="shared" si="0"/>
        <v>657740</v>
      </c>
      <c r="D70" s="137">
        <f t="shared" si="1"/>
        <v>5.1643865929433611E-3</v>
      </c>
      <c r="E70" s="158"/>
      <c r="F70" s="150">
        <f>VLOOKUP(A70,'OPEB Amounts_Report'!$A$10:$A$319,1,FALSE)</f>
        <v>2630</v>
      </c>
      <c r="G70" s="86"/>
      <c r="H70" s="87"/>
    </row>
    <row r="71" spans="1:8">
      <c r="A71" s="12">
        <v>2690</v>
      </c>
      <c r="B71" s="13" t="s">
        <v>61</v>
      </c>
      <c r="C71" s="136">
        <f t="shared" si="0"/>
        <v>1714719</v>
      </c>
      <c r="D71" s="138">
        <f t="shared" si="1"/>
        <v>1.346348376906566E-2</v>
      </c>
      <c r="E71" s="158"/>
      <c r="F71" s="150">
        <f>VLOOKUP(A71,'OPEB Amounts_Report'!$A$10:$A$319,1,FALSE)</f>
        <v>2690</v>
      </c>
      <c r="G71" s="86"/>
      <c r="H71" s="87"/>
    </row>
    <row r="72" spans="1:8">
      <c r="A72" s="10">
        <v>2710</v>
      </c>
      <c r="B72" s="11" t="s">
        <v>62</v>
      </c>
      <c r="C72" s="135">
        <f t="shared" si="0"/>
        <v>16247</v>
      </c>
      <c r="D72" s="137">
        <f t="shared" si="1"/>
        <v>1.2756680295489218E-4</v>
      </c>
      <c r="E72" s="158"/>
      <c r="F72" s="150">
        <f>VLOOKUP(A72,'OPEB Amounts_Report'!$A$10:$A$319,1,FALSE)</f>
        <v>2710</v>
      </c>
      <c r="G72" s="86"/>
      <c r="H72" s="87"/>
    </row>
    <row r="73" spans="1:8">
      <c r="A73" s="183">
        <v>2730</v>
      </c>
      <c r="B73" s="184" t="s">
        <v>63</v>
      </c>
      <c r="C73" s="185">
        <f t="shared" ref="C73:C136" si="2">+VLOOKUP(A73,$D$321:$F$629,3,FALSE)</f>
        <v>140393</v>
      </c>
      <c r="D73" s="186">
        <f t="shared" ref="D73:D136" si="3">+C73/$C$316</f>
        <v>1.1023257319656662E-3</v>
      </c>
      <c r="E73" s="158"/>
      <c r="F73" s="150">
        <f>VLOOKUP(A73,'OPEB Amounts_Report'!$A$10:$A$319,1,FALSE)</f>
        <v>2730</v>
      </c>
      <c r="G73" s="86"/>
      <c r="H73" s="87"/>
    </row>
    <row r="74" spans="1:8">
      <c r="A74" s="10">
        <v>2950</v>
      </c>
      <c r="B74" s="11" t="s">
        <v>64</v>
      </c>
      <c r="C74" s="135">
        <f t="shared" si="2"/>
        <v>102978</v>
      </c>
      <c r="D74" s="137">
        <f t="shared" si="3"/>
        <v>8.0855383976665774E-4</v>
      </c>
      <c r="E74" s="158"/>
      <c r="F74" s="150">
        <f>VLOOKUP(A74,'OPEB Amounts_Report'!$A$10:$A$319,1,FALSE)</f>
        <v>2950</v>
      </c>
      <c r="G74" s="86"/>
      <c r="H74" s="87"/>
    </row>
    <row r="75" spans="1:8">
      <c r="A75" s="12">
        <v>2760</v>
      </c>
      <c r="B75" s="13" t="s">
        <v>65</v>
      </c>
      <c r="C75" s="136">
        <f t="shared" si="2"/>
        <v>86516</v>
      </c>
      <c r="D75" s="138">
        <f t="shared" si="3"/>
        <v>6.7929891822770064E-4</v>
      </c>
      <c r="E75" s="158"/>
      <c r="F75" s="150">
        <f>VLOOKUP(A75,'OPEB Amounts_Report'!$A$10:$A$319,1,FALSE)</f>
        <v>2760</v>
      </c>
      <c r="G75" s="86"/>
      <c r="H75" s="87"/>
    </row>
    <row r="76" spans="1:8">
      <c r="A76" s="10">
        <v>2780</v>
      </c>
      <c r="B76" s="11" t="s">
        <v>66</v>
      </c>
      <c r="C76" s="135">
        <f t="shared" si="2"/>
        <v>7518</v>
      </c>
      <c r="D76" s="137">
        <f t="shared" si="3"/>
        <v>5.9029188441858777E-5</v>
      </c>
      <c r="E76" s="158"/>
      <c r="F76" s="150">
        <f>VLOOKUP(A76,'OPEB Amounts_Report'!$A$10:$A$319,1,FALSE)</f>
        <v>2780</v>
      </c>
      <c r="G76" s="86"/>
      <c r="H76" s="87"/>
    </row>
    <row r="77" spans="1:8">
      <c r="A77" s="12">
        <v>2810</v>
      </c>
      <c r="B77" s="13" t="s">
        <v>67</v>
      </c>
      <c r="C77" s="136">
        <f t="shared" si="2"/>
        <v>67041</v>
      </c>
      <c r="D77" s="138">
        <f t="shared" si="3"/>
        <v>5.2638678136880212E-4</v>
      </c>
      <c r="E77" s="158"/>
      <c r="F77" s="150">
        <f>VLOOKUP(A77,'OPEB Amounts_Report'!$A$10:$A$319,1,FALSE)</f>
        <v>2810</v>
      </c>
      <c r="G77" s="86"/>
      <c r="H77" s="87"/>
    </row>
    <row r="78" spans="1:8">
      <c r="A78" s="10">
        <v>18056</v>
      </c>
      <c r="B78" s="11" t="s">
        <v>68</v>
      </c>
      <c r="C78" s="135">
        <f t="shared" si="2"/>
        <v>85826</v>
      </c>
      <c r="D78" s="137">
        <f t="shared" si="3"/>
        <v>6.7388123533000416E-4</v>
      </c>
      <c r="E78" s="158"/>
      <c r="F78" s="150">
        <f>VLOOKUP(A78,'OPEB Amounts_Report'!$A$10:$A$319,1,FALSE)</f>
        <v>18056</v>
      </c>
      <c r="G78" s="86"/>
      <c r="H78" s="87"/>
    </row>
    <row r="79" spans="1:8">
      <c r="A79" s="12">
        <v>15047</v>
      </c>
      <c r="B79" s="13" t="s">
        <v>69</v>
      </c>
      <c r="C79" s="136">
        <f t="shared" si="2"/>
        <v>77725</v>
      </c>
      <c r="D79" s="138">
        <f t="shared" si="3"/>
        <v>6.1027449742530901E-4</v>
      </c>
      <c r="E79" s="158"/>
      <c r="F79" s="150">
        <f>VLOOKUP(A79,'OPEB Amounts_Report'!$A$10:$A$319,1,FALSE)</f>
        <v>15047</v>
      </c>
      <c r="G79" s="86"/>
      <c r="H79" s="87"/>
    </row>
    <row r="80" spans="1:8">
      <c r="A80" s="10">
        <v>5012</v>
      </c>
      <c r="B80" s="11" t="s">
        <v>70</v>
      </c>
      <c r="C80" s="135">
        <f t="shared" si="2"/>
        <v>1346099</v>
      </c>
      <c r="D80" s="137">
        <f t="shared" si="3"/>
        <v>1.0569184827400593E-2</v>
      </c>
      <c r="E80" s="158"/>
      <c r="F80" s="150">
        <f>VLOOKUP(A80,'OPEB Amounts_Report'!$A$10:$A$319,1,FALSE)</f>
        <v>5012</v>
      </c>
      <c r="G80" s="86"/>
      <c r="H80" s="87"/>
    </row>
    <row r="81" spans="1:8">
      <c r="A81" s="12">
        <v>8024</v>
      </c>
      <c r="B81" s="13" t="s">
        <v>71</v>
      </c>
      <c r="C81" s="136">
        <f t="shared" si="2"/>
        <v>253811</v>
      </c>
      <c r="D81" s="138">
        <f t="shared" si="3"/>
        <v>1.9928514694887759E-3</v>
      </c>
      <c r="E81" s="158"/>
      <c r="F81" s="150">
        <f>VLOOKUP(A81,'OPEB Amounts_Report'!$A$10:$A$319,1,FALSE)</f>
        <v>8024</v>
      </c>
      <c r="G81" s="86"/>
      <c r="H81" s="87"/>
    </row>
    <row r="82" spans="1:8">
      <c r="A82" s="10">
        <v>3050</v>
      </c>
      <c r="B82" s="11" t="s">
        <v>72</v>
      </c>
      <c r="C82" s="135">
        <f t="shared" si="2"/>
        <v>94465</v>
      </c>
      <c r="D82" s="137">
        <f t="shared" si="3"/>
        <v>7.4171219555203361E-4</v>
      </c>
      <c r="E82" s="158"/>
      <c r="F82" s="150">
        <f>VLOOKUP(A82,'OPEB Amounts_Report'!$A$10:$A$319,1,FALSE)</f>
        <v>3050</v>
      </c>
      <c r="G82" s="86"/>
      <c r="H82" s="87"/>
    </row>
    <row r="83" spans="1:8">
      <c r="A83" s="12">
        <v>2421</v>
      </c>
      <c r="B83" s="13" t="s">
        <v>73</v>
      </c>
      <c r="C83" s="136">
        <f t="shared" si="2"/>
        <v>31066</v>
      </c>
      <c r="D83" s="138">
        <f t="shared" si="3"/>
        <v>2.4392135782585591E-4</v>
      </c>
      <c r="E83" s="158"/>
      <c r="F83" s="150">
        <f>VLOOKUP(A83,'OPEB Amounts_Report'!$A$10:$A$319,1,FALSE)</f>
        <v>2421</v>
      </c>
      <c r="G83" s="86"/>
      <c r="H83" s="87"/>
    </row>
    <row r="84" spans="1:8">
      <c r="A84" s="10">
        <v>26079</v>
      </c>
      <c r="B84" s="11" t="s">
        <v>74</v>
      </c>
      <c r="C84" s="135">
        <f t="shared" si="2"/>
        <v>33012</v>
      </c>
      <c r="D84" s="137">
        <f t="shared" si="3"/>
        <v>2.59200793940229E-4</v>
      </c>
      <c r="E84" s="158"/>
      <c r="F84" s="150">
        <f>VLOOKUP(A84,'OPEB Amounts_Report'!$A$10:$A$319,1,FALSE)</f>
        <v>26079</v>
      </c>
      <c r="G84" s="86"/>
      <c r="H84" s="87"/>
    </row>
    <row r="85" spans="1:8">
      <c r="A85" s="12">
        <v>2363</v>
      </c>
      <c r="B85" s="13" t="s">
        <v>75</v>
      </c>
      <c r="C85" s="136">
        <f t="shared" si="2"/>
        <v>37522</v>
      </c>
      <c r="D85" s="138">
        <f t="shared" si="3"/>
        <v>2.946120256338687E-4</v>
      </c>
      <c r="E85" s="158"/>
      <c r="F85" s="150">
        <f>VLOOKUP(A85,'OPEB Amounts_Report'!$A$10:$A$319,1,FALSE)</f>
        <v>2363</v>
      </c>
      <c r="G85" s="86"/>
      <c r="H85" s="87"/>
    </row>
    <row r="86" spans="1:8">
      <c r="A86" s="10">
        <v>2364</v>
      </c>
      <c r="B86" s="11" t="s">
        <v>76</v>
      </c>
      <c r="C86" s="135">
        <f t="shared" si="2"/>
        <v>122219</v>
      </c>
      <c r="D86" s="137">
        <f t="shared" si="3"/>
        <v>9.5962867546894621E-4</v>
      </c>
      <c r="E86" s="158"/>
      <c r="F86" s="150">
        <f>VLOOKUP(A86,'OPEB Amounts_Report'!$A$10:$A$319,1,FALSE)</f>
        <v>2364</v>
      </c>
      <c r="G86" s="86"/>
      <c r="H86" s="87"/>
    </row>
    <row r="87" spans="1:8">
      <c r="A87" s="12">
        <v>25319</v>
      </c>
      <c r="B87" s="13" t="s">
        <v>77</v>
      </c>
      <c r="C87" s="136">
        <f t="shared" si="2"/>
        <v>24519</v>
      </c>
      <c r="D87" s="138">
        <f t="shared" si="3"/>
        <v>1.9251618401249472E-4</v>
      </c>
      <c r="E87" s="158"/>
      <c r="F87" s="150">
        <f>VLOOKUP(A87,'OPEB Amounts_Report'!$A$10:$A$319,1,FALSE)</f>
        <v>25319</v>
      </c>
      <c r="G87" s="86"/>
      <c r="H87" s="87"/>
    </row>
    <row r="88" spans="1:8">
      <c r="A88" s="10">
        <v>29087</v>
      </c>
      <c r="B88" s="11" t="s">
        <v>78</v>
      </c>
      <c r="C88" s="135">
        <f t="shared" si="2"/>
        <v>245047</v>
      </c>
      <c r="D88" s="137">
        <f t="shared" si="3"/>
        <v>1.9240390449736854E-3</v>
      </c>
      <c r="E88" s="158"/>
      <c r="F88" s="150">
        <f>VLOOKUP(A88,'OPEB Amounts_Report'!$A$10:$A$319,1,FALSE)</f>
        <v>29087</v>
      </c>
      <c r="G88" s="86"/>
      <c r="H88" s="87"/>
    </row>
    <row r="89" spans="1:8">
      <c r="A89" s="12">
        <v>3060</v>
      </c>
      <c r="B89" s="13" t="s">
        <v>79</v>
      </c>
      <c r="C89" s="136">
        <f t="shared" si="2"/>
        <v>142374</v>
      </c>
      <c r="D89" s="138">
        <f t="shared" si="3"/>
        <v>1.1178799780820964E-3</v>
      </c>
      <c r="E89" s="158"/>
      <c r="F89" s="150">
        <f>VLOOKUP(A89,'OPEB Amounts_Report'!$A$10:$A$319,1,FALSE)</f>
        <v>3060</v>
      </c>
      <c r="G89" s="86"/>
      <c r="H89" s="87"/>
    </row>
    <row r="90" spans="1:8">
      <c r="A90" s="10">
        <v>19301</v>
      </c>
      <c r="B90" s="11" t="s">
        <v>80</v>
      </c>
      <c r="C90" s="135">
        <f t="shared" si="2"/>
        <v>28023</v>
      </c>
      <c r="D90" s="137">
        <f t="shared" si="3"/>
        <v>2.2002859107557972E-4</v>
      </c>
      <c r="E90" s="158"/>
      <c r="F90" s="150">
        <f>VLOOKUP(A90,'OPEB Amounts_Report'!$A$10:$A$319,1,FALSE)</f>
        <v>19301</v>
      </c>
      <c r="G90" s="86"/>
      <c r="H90" s="87"/>
    </row>
    <row r="91" spans="1:8">
      <c r="A91" s="12">
        <v>19059</v>
      </c>
      <c r="B91" s="13" t="s">
        <v>81</v>
      </c>
      <c r="C91" s="136">
        <f t="shared" si="2"/>
        <v>896118</v>
      </c>
      <c r="D91" s="138">
        <f t="shared" si="3"/>
        <v>7.0360625549536577E-3</v>
      </c>
      <c r="E91" s="158"/>
      <c r="F91" s="150">
        <f>VLOOKUP(A91,'OPEB Amounts_Report'!$A$10:$A$319,1,FALSE)</f>
        <v>19059</v>
      </c>
      <c r="G91" s="86"/>
      <c r="H91" s="87"/>
    </row>
    <row r="92" spans="1:8">
      <c r="A92" s="10">
        <v>18057</v>
      </c>
      <c r="B92" s="11" t="s">
        <v>82</v>
      </c>
      <c r="C92" s="135">
        <f t="shared" si="2"/>
        <v>37980</v>
      </c>
      <c r="D92" s="137">
        <f t="shared" si="3"/>
        <v>2.9820811080364409E-4</v>
      </c>
      <c r="E92" s="158"/>
      <c r="F92" s="150">
        <f>VLOOKUP(A92,'OPEB Amounts_Report'!$A$10:$A$319,1,FALSE)</f>
        <v>18057</v>
      </c>
      <c r="G92" s="86"/>
      <c r="H92" s="87"/>
    </row>
    <row r="93" spans="1:8">
      <c r="A93" s="12">
        <v>4008</v>
      </c>
      <c r="B93" s="13" t="s">
        <v>83</v>
      </c>
      <c r="C93" s="136">
        <f t="shared" si="2"/>
        <v>149824</v>
      </c>
      <c r="D93" s="138">
        <f t="shared" si="3"/>
        <v>1.1763752499485301E-3</v>
      </c>
      <c r="E93" s="158"/>
      <c r="F93" s="150">
        <f>VLOOKUP(A93,'OPEB Amounts_Report'!$A$10:$A$319,1,FALSE)</f>
        <v>4008</v>
      </c>
      <c r="G93" s="86"/>
      <c r="H93" s="87"/>
    </row>
    <row r="94" spans="1:8">
      <c r="A94" s="10">
        <v>2350</v>
      </c>
      <c r="B94" s="11" t="s">
        <v>84</v>
      </c>
      <c r="C94" s="135">
        <f t="shared" si="2"/>
        <v>49318</v>
      </c>
      <c r="D94" s="137">
        <f t="shared" si="3"/>
        <v>3.87230848041446E-4</v>
      </c>
      <c r="E94" s="158"/>
      <c r="F94" s="150">
        <f>VLOOKUP(A94,'OPEB Amounts_Report'!$A$10:$A$319,1,FALSE)</f>
        <v>2350</v>
      </c>
      <c r="G94" s="86"/>
      <c r="H94" s="87"/>
    </row>
    <row r="95" spans="1:8">
      <c r="A95" s="12">
        <v>11117</v>
      </c>
      <c r="B95" s="13" t="s">
        <v>85</v>
      </c>
      <c r="C95" s="136">
        <f t="shared" si="2"/>
        <v>47180</v>
      </c>
      <c r="D95" s="138">
        <f t="shared" si="3"/>
        <v>3.7044388277293123E-4</v>
      </c>
      <c r="E95" s="158"/>
      <c r="F95" s="150">
        <f>VLOOKUP(A95,'OPEB Amounts_Report'!$A$10:$A$319,1,FALSE)</f>
        <v>11117</v>
      </c>
      <c r="G95" s="86"/>
      <c r="H95" s="87"/>
    </row>
    <row r="96" spans="1:8">
      <c r="A96" s="10">
        <v>16359</v>
      </c>
      <c r="B96" s="11" t="s">
        <v>86</v>
      </c>
      <c r="C96" s="135">
        <f t="shared" si="2"/>
        <v>10251</v>
      </c>
      <c r="D96" s="137">
        <f t="shared" si="3"/>
        <v>8.0487923745343744E-5</v>
      </c>
      <c r="E96" s="158"/>
      <c r="F96" s="150">
        <f>VLOOKUP(A96,'OPEB Amounts_Report'!$A$10:$A$319,1,FALSE)</f>
        <v>16359</v>
      </c>
      <c r="G96" s="86"/>
      <c r="H96" s="87"/>
    </row>
    <row r="97" spans="1:8">
      <c r="A97" s="12">
        <v>17115</v>
      </c>
      <c r="B97" s="13" t="s">
        <v>87</v>
      </c>
      <c r="C97" s="136">
        <f t="shared" si="2"/>
        <v>182311</v>
      </c>
      <c r="D97" s="138">
        <f t="shared" si="3"/>
        <v>1.4314538938579031E-3</v>
      </c>
      <c r="E97" s="158"/>
      <c r="F97" s="150">
        <f>VLOOKUP(A97,'OPEB Amounts_Report'!$A$10:$A$319,1,FALSE)</f>
        <v>17115</v>
      </c>
      <c r="G97" s="86"/>
      <c r="H97" s="87"/>
    </row>
    <row r="98" spans="1:8">
      <c r="A98" s="10">
        <v>32117</v>
      </c>
      <c r="B98" s="11" t="s">
        <v>88</v>
      </c>
      <c r="C98" s="135">
        <f t="shared" si="2"/>
        <v>14595</v>
      </c>
      <c r="D98" s="137">
        <f t="shared" si="3"/>
        <v>1.1459577085779846E-4</v>
      </c>
      <c r="E98" s="158"/>
      <c r="F98" s="150" t="e">
        <f>VLOOKUP(A98,'OPEB Amounts_Report'!$A$10:$A$319,1,FALSE)</f>
        <v>#N/A</v>
      </c>
      <c r="G98" s="86"/>
      <c r="H98" s="87"/>
    </row>
    <row r="99" spans="1:8">
      <c r="A99" s="12">
        <v>2304</v>
      </c>
      <c r="B99" s="13" t="s">
        <v>89</v>
      </c>
      <c r="C99" s="136">
        <f t="shared" si="2"/>
        <v>64587</v>
      </c>
      <c r="D99" s="138">
        <f t="shared" si="3"/>
        <v>5.0711867436742917E-4</v>
      </c>
      <c r="E99" s="158"/>
      <c r="F99" s="150">
        <f>VLOOKUP(A99,'OPEB Amounts_Report'!$A$10:$A$319,1,FALSE)</f>
        <v>2304</v>
      </c>
      <c r="G99" s="86"/>
      <c r="H99" s="87"/>
    </row>
    <row r="100" spans="1:8">
      <c r="A100" s="10">
        <v>11101</v>
      </c>
      <c r="B100" s="11" t="s">
        <v>91</v>
      </c>
      <c r="C100" s="135">
        <f t="shared" si="2"/>
        <v>745644</v>
      </c>
      <c r="D100" s="137">
        <f t="shared" si="3"/>
        <v>5.854583690681211E-3</v>
      </c>
      <c r="E100" s="158"/>
      <c r="F100" s="150">
        <f>VLOOKUP(A100,'OPEB Amounts_Report'!$A$10:$A$319,1,FALSE)</f>
        <v>11101</v>
      </c>
      <c r="G100" s="86"/>
      <c r="H100" s="87"/>
    </row>
    <row r="101" spans="1:8">
      <c r="A101" s="12">
        <v>11102</v>
      </c>
      <c r="B101" s="13" t="s">
        <v>90</v>
      </c>
      <c r="C101" s="136">
        <f t="shared" si="2"/>
        <v>259029</v>
      </c>
      <c r="D101" s="138">
        <f t="shared" si="3"/>
        <v>2.0338217149383129E-3</v>
      </c>
      <c r="E101" s="158"/>
      <c r="F101" s="150">
        <f>VLOOKUP(A101,'OPEB Amounts_Report'!$A$10:$A$319,1,FALSE)</f>
        <v>11102</v>
      </c>
      <c r="G101" s="86"/>
      <c r="H101" s="87"/>
    </row>
    <row r="102" spans="1:8">
      <c r="A102" s="10">
        <v>3100</v>
      </c>
      <c r="B102" s="11" t="s">
        <v>92</v>
      </c>
      <c r="C102" s="135">
        <f t="shared" si="2"/>
        <v>530191</v>
      </c>
      <c r="D102" s="137">
        <f t="shared" si="3"/>
        <v>4.1629082800182958E-3</v>
      </c>
      <c r="E102" s="158"/>
      <c r="F102" s="150">
        <f>VLOOKUP(A102,'OPEB Amounts_Report'!$A$10:$A$319,1,FALSE)</f>
        <v>3100</v>
      </c>
      <c r="G102" s="86"/>
      <c r="H102" s="87"/>
    </row>
    <row r="103" spans="1:8">
      <c r="A103" s="12">
        <v>2323</v>
      </c>
      <c r="B103" s="13" t="s">
        <v>93</v>
      </c>
      <c r="C103" s="136">
        <f t="shared" si="2"/>
        <v>52366</v>
      </c>
      <c r="D103" s="138">
        <f t="shared" si="3"/>
        <v>4.1116287336344463E-4</v>
      </c>
      <c r="E103" s="158"/>
      <c r="F103" s="150">
        <f>VLOOKUP(A103,'OPEB Amounts_Report'!$A$10:$A$319,1,FALSE)</f>
        <v>2323</v>
      </c>
      <c r="G103" s="86"/>
      <c r="H103" s="87"/>
    </row>
    <row r="104" spans="1:8">
      <c r="A104" s="10">
        <v>11034</v>
      </c>
      <c r="B104" s="11" t="s">
        <v>94</v>
      </c>
      <c r="C104" s="135">
        <f t="shared" si="2"/>
        <v>40615</v>
      </c>
      <c r="D104" s="137">
        <f t="shared" si="3"/>
        <v>3.1889737810136928E-4</v>
      </c>
      <c r="E104" s="158"/>
      <c r="F104" s="150">
        <f>VLOOKUP(A104,'OPEB Amounts_Report'!$A$10:$A$319,1,FALSE)</f>
        <v>11034</v>
      </c>
      <c r="G104" s="86"/>
      <c r="H104" s="87"/>
    </row>
    <row r="105" spans="1:8">
      <c r="A105" s="12">
        <v>17054</v>
      </c>
      <c r="B105" s="13" t="s">
        <v>95</v>
      </c>
      <c r="C105" s="136">
        <f t="shared" si="2"/>
        <v>545339</v>
      </c>
      <c r="D105" s="138">
        <f t="shared" si="3"/>
        <v>4.2818460489085957E-3</v>
      </c>
      <c r="E105" s="158"/>
      <c r="F105" s="150">
        <f>VLOOKUP(A105,'OPEB Amounts_Report'!$A$10:$A$319,1,FALSE)</f>
        <v>17054</v>
      </c>
      <c r="G105" s="86"/>
      <c r="H105" s="87"/>
    </row>
    <row r="106" spans="1:8">
      <c r="A106" s="10">
        <v>22065</v>
      </c>
      <c r="B106" s="11" t="s">
        <v>96</v>
      </c>
      <c r="C106" s="135">
        <f t="shared" si="2"/>
        <v>139448</v>
      </c>
      <c r="D106" s="137">
        <f t="shared" si="3"/>
        <v>1.0949058619101253E-3</v>
      </c>
      <c r="E106" s="158"/>
      <c r="F106" s="150">
        <f>VLOOKUP(A106,'OPEB Amounts_Report'!$A$10:$A$319,1,FALSE)</f>
        <v>22065</v>
      </c>
      <c r="G106" s="86"/>
      <c r="H106" s="87"/>
    </row>
    <row r="107" spans="1:8">
      <c r="A107" s="12">
        <v>22201</v>
      </c>
      <c r="B107" s="13" t="s">
        <v>97</v>
      </c>
      <c r="C107" s="136">
        <f t="shared" si="2"/>
        <v>81884</v>
      </c>
      <c r="D107" s="138">
        <f t="shared" si="3"/>
        <v>6.4292977738403354E-4</v>
      </c>
      <c r="E107" s="158"/>
      <c r="F107" s="150">
        <f>VLOOKUP(A107,'OPEB Amounts_Report'!$A$10:$A$319,1,FALSE)</f>
        <v>22201</v>
      </c>
      <c r="G107" s="86"/>
      <c r="H107" s="87"/>
    </row>
    <row r="108" spans="1:8">
      <c r="A108" s="10">
        <v>6016</v>
      </c>
      <c r="B108" s="11" t="s">
        <v>98</v>
      </c>
      <c r="C108" s="135">
        <f t="shared" si="2"/>
        <v>133949</v>
      </c>
      <c r="D108" s="137">
        <f t="shared" si="3"/>
        <v>1.0517292847297872E-3</v>
      </c>
      <c r="E108" s="158"/>
      <c r="F108" s="150">
        <f>VLOOKUP(A108,'OPEB Amounts_Report'!$A$10:$A$319,1,FALSE)</f>
        <v>6016</v>
      </c>
      <c r="G108" s="86"/>
      <c r="H108" s="87"/>
    </row>
    <row r="109" spans="1:8">
      <c r="A109" s="12">
        <v>7440</v>
      </c>
      <c r="B109" s="13" t="s">
        <v>428</v>
      </c>
      <c r="C109" s="136">
        <f t="shared" si="2"/>
        <v>48074</v>
      </c>
      <c r="D109" s="138">
        <f t="shared" si="3"/>
        <v>3.7746331539690328E-4</v>
      </c>
      <c r="E109" s="158"/>
      <c r="F109" s="150">
        <f>VLOOKUP(A109,'OPEB Amounts_Report'!$A$10:$A$319,1,FALSE)</f>
        <v>7440</v>
      </c>
      <c r="G109" s="86"/>
      <c r="H109" s="87"/>
    </row>
    <row r="110" spans="1:8">
      <c r="A110" s="10">
        <v>2432</v>
      </c>
      <c r="B110" s="11" t="s">
        <v>99</v>
      </c>
      <c r="C110" s="135">
        <f t="shared" si="2"/>
        <v>212886</v>
      </c>
      <c r="D110" s="137">
        <f t="shared" si="3"/>
        <v>1.6715200599406155E-3</v>
      </c>
      <c r="E110" s="158"/>
      <c r="F110" s="150">
        <f>VLOOKUP(A110,'OPEB Amounts_Report'!$A$10:$A$319,1,FALSE)</f>
        <v>2432</v>
      </c>
      <c r="G110" s="86"/>
      <c r="H110" s="87"/>
    </row>
    <row r="111" spans="1:8">
      <c r="A111" s="12">
        <v>29125</v>
      </c>
      <c r="B111" s="13" t="s">
        <v>454</v>
      </c>
      <c r="C111" s="136">
        <f t="shared" si="2"/>
        <v>32919</v>
      </c>
      <c r="D111" s="138">
        <f t="shared" si="3"/>
        <v>2.5847058450619167E-4</v>
      </c>
      <c r="E111" s="158"/>
      <c r="F111" s="150">
        <f>VLOOKUP(A111,'OPEB Amounts_Report'!$A$10:$A$319,1,FALSE)</f>
        <v>29125</v>
      </c>
      <c r="G111" s="86"/>
      <c r="H111" s="87"/>
    </row>
    <row r="112" spans="1:8">
      <c r="A112" s="10">
        <v>16052</v>
      </c>
      <c r="B112" s="11" t="s">
        <v>100</v>
      </c>
      <c r="C112" s="135">
        <f t="shared" si="2"/>
        <v>1679563</v>
      </c>
      <c r="D112" s="137">
        <f t="shared" si="3"/>
        <v>1.3187448899570849E-2</v>
      </c>
      <c r="E112" s="158"/>
      <c r="F112" s="150">
        <f>VLOOKUP(A112,'OPEB Amounts_Report'!$A$10:$A$319,1,FALSE)</f>
        <v>16052</v>
      </c>
      <c r="G112" s="86"/>
      <c r="H112" s="87"/>
    </row>
    <row r="113" spans="1:8">
      <c r="A113" s="12">
        <v>11118</v>
      </c>
      <c r="B113" s="13" t="s">
        <v>101</v>
      </c>
      <c r="C113" s="136">
        <f t="shared" si="2"/>
        <v>45706</v>
      </c>
      <c r="D113" s="138">
        <f t="shared" si="3"/>
        <v>3.5887045582915633E-4</v>
      </c>
      <c r="E113" s="158"/>
      <c r="F113" s="150">
        <f>VLOOKUP(A113,'OPEB Amounts_Report'!$A$10:$A$319,1,FALSE)</f>
        <v>11118</v>
      </c>
      <c r="G113" s="86"/>
      <c r="H113" s="87"/>
    </row>
    <row r="114" spans="1:8">
      <c r="A114" s="10">
        <v>27083</v>
      </c>
      <c r="B114" s="11" t="s">
        <v>102</v>
      </c>
      <c r="C114" s="135">
        <f t="shared" si="2"/>
        <v>61087</v>
      </c>
      <c r="D114" s="137">
        <f t="shared" si="3"/>
        <v>4.796376741617221E-4</v>
      </c>
      <c r="E114" s="158"/>
      <c r="F114" s="150">
        <f>VLOOKUP(A114,'OPEB Amounts_Report'!$A$10:$A$319,1,FALSE)</f>
        <v>27083</v>
      </c>
      <c r="G114" s="86"/>
      <c r="H114" s="87"/>
    </row>
    <row r="115" spans="1:8">
      <c r="A115" s="12">
        <v>7021</v>
      </c>
      <c r="B115" s="13" t="s">
        <v>103</v>
      </c>
      <c r="C115" s="136">
        <f t="shared" si="2"/>
        <v>2219111</v>
      </c>
      <c r="D115" s="138">
        <f t="shared" si="3"/>
        <v>1.7423825670710515E-2</v>
      </c>
      <c r="E115" s="158"/>
      <c r="F115" s="150">
        <f>VLOOKUP(A115,'OPEB Amounts_Report'!$A$10:$A$319,1,FALSE)</f>
        <v>7021</v>
      </c>
      <c r="G115" s="86"/>
      <c r="H115" s="87"/>
    </row>
    <row r="116" spans="1:8">
      <c r="A116" s="10">
        <v>4140</v>
      </c>
      <c r="B116" s="11" t="s">
        <v>104</v>
      </c>
      <c r="C116" s="135">
        <f t="shared" si="2"/>
        <v>15055</v>
      </c>
      <c r="D116" s="137">
        <f t="shared" si="3"/>
        <v>1.1820755945626281E-4</v>
      </c>
      <c r="E116" s="158"/>
      <c r="F116" s="150">
        <f>VLOOKUP(A116,'OPEB Amounts_Report'!$A$10:$A$319,1,FALSE)</f>
        <v>4140</v>
      </c>
      <c r="G116" s="86"/>
      <c r="H116" s="87"/>
    </row>
    <row r="117" spans="1:8">
      <c r="A117" s="12">
        <v>13041</v>
      </c>
      <c r="B117" s="13" t="s">
        <v>105</v>
      </c>
      <c r="C117" s="136">
        <f t="shared" si="2"/>
        <v>2043639</v>
      </c>
      <c r="D117" s="138">
        <f t="shared" si="3"/>
        <v>1.6046069651254564E-2</v>
      </c>
      <c r="E117" s="158"/>
      <c r="F117" s="150">
        <f>VLOOKUP(A117,'OPEB Amounts_Report'!$A$10:$A$319,1,FALSE)</f>
        <v>13041</v>
      </c>
      <c r="G117" s="86"/>
      <c r="H117" s="87"/>
    </row>
    <row r="118" spans="1:8">
      <c r="A118" s="10">
        <v>2339</v>
      </c>
      <c r="B118" s="11" t="s">
        <v>106</v>
      </c>
      <c r="C118" s="135">
        <f t="shared" si="2"/>
        <v>30031</v>
      </c>
      <c r="D118" s="137">
        <f t="shared" si="3"/>
        <v>2.3579483347931109E-4</v>
      </c>
      <c r="E118" s="158"/>
      <c r="F118" s="150">
        <f>VLOOKUP(A118,'OPEB Amounts_Report'!$A$10:$A$319,1,FALSE)</f>
        <v>2339</v>
      </c>
      <c r="G118" s="86"/>
      <c r="H118" s="87"/>
    </row>
    <row r="119" spans="1:8">
      <c r="A119" s="12">
        <v>2362</v>
      </c>
      <c r="B119" s="13" t="s">
        <v>107</v>
      </c>
      <c r="C119" s="136">
        <f t="shared" si="2"/>
        <v>33460</v>
      </c>
      <c r="D119" s="138">
        <f t="shared" si="3"/>
        <v>2.6271836196655954E-4</v>
      </c>
      <c r="E119" s="158"/>
      <c r="F119" s="150">
        <f>VLOOKUP(A119,'OPEB Amounts_Report'!$A$10:$A$319,1,FALSE)</f>
        <v>2362</v>
      </c>
      <c r="G119" s="86"/>
      <c r="H119" s="87"/>
    </row>
    <row r="120" spans="1:8">
      <c r="A120" s="10">
        <v>5013</v>
      </c>
      <c r="B120" s="11" t="s">
        <v>108</v>
      </c>
      <c r="C120" s="135">
        <f t="shared" si="2"/>
        <v>36064</v>
      </c>
      <c r="D120" s="137">
        <f t="shared" si="3"/>
        <v>2.831642261196056E-4</v>
      </c>
      <c r="E120" s="158"/>
      <c r="F120" s="150">
        <f>VLOOKUP(A120,'OPEB Amounts_Report'!$A$10:$A$319,1,FALSE)</f>
        <v>5013</v>
      </c>
      <c r="G120" s="86"/>
      <c r="H120" s="87"/>
    </row>
    <row r="121" spans="1:8">
      <c r="A121" s="12">
        <v>3110</v>
      </c>
      <c r="B121" s="43" t="s">
        <v>109</v>
      </c>
      <c r="C121" s="156">
        <f t="shared" si="2"/>
        <v>159124</v>
      </c>
      <c r="D121" s="140">
        <f t="shared" si="3"/>
        <v>1.2493961933522659E-3</v>
      </c>
      <c r="E121" s="158"/>
      <c r="F121" s="150">
        <f>VLOOKUP(A121,'OPEB Amounts_Report'!$A$10:$A$319,1,FALSE)</f>
        <v>3110</v>
      </c>
      <c r="G121" s="86"/>
      <c r="H121" s="87"/>
    </row>
    <row r="122" spans="1:8">
      <c r="A122" s="10">
        <v>14044</v>
      </c>
      <c r="B122" s="11" t="s">
        <v>110</v>
      </c>
      <c r="C122" s="135">
        <f t="shared" si="2"/>
        <v>619311</v>
      </c>
      <c r="D122" s="137">
        <f t="shared" si="3"/>
        <v>4.8626530623990423E-3</v>
      </c>
      <c r="E122" s="158"/>
      <c r="F122" s="150">
        <f>VLOOKUP(A122,'OPEB Amounts_Report'!$A$10:$A$319,1,FALSE)</f>
        <v>14044</v>
      </c>
      <c r="G122" s="86"/>
      <c r="H122" s="87"/>
    </row>
    <row r="123" spans="1:8">
      <c r="A123" s="12">
        <v>4009</v>
      </c>
      <c r="B123" s="13" t="s">
        <v>111</v>
      </c>
      <c r="C123" s="136">
        <f t="shared" si="2"/>
        <v>81672</v>
      </c>
      <c r="D123" s="138">
        <f t="shared" si="3"/>
        <v>6.4126521394300212E-4</v>
      </c>
      <c r="E123" s="158"/>
      <c r="F123" s="150">
        <f>VLOOKUP(A123,'OPEB Amounts_Report'!$A$10:$A$319,1,FALSE)</f>
        <v>4009</v>
      </c>
      <c r="G123" s="86"/>
      <c r="H123" s="87"/>
    </row>
    <row r="124" spans="1:8">
      <c r="A124" s="10">
        <v>7022</v>
      </c>
      <c r="B124" s="11" t="s">
        <v>112</v>
      </c>
      <c r="C124" s="135">
        <f t="shared" si="2"/>
        <v>231009</v>
      </c>
      <c r="D124" s="137">
        <f t="shared" si="3"/>
        <v>1.8138166790057665E-3</v>
      </c>
      <c r="E124" s="158"/>
      <c r="F124" s="150">
        <f>VLOOKUP(A124,'OPEB Amounts_Report'!$A$10:$A$319,1,FALSE)</f>
        <v>7022</v>
      </c>
      <c r="G124" s="86"/>
      <c r="H124" s="87"/>
    </row>
    <row r="125" spans="1:8">
      <c r="A125" s="12">
        <v>2430</v>
      </c>
      <c r="B125" s="13" t="s">
        <v>113</v>
      </c>
      <c r="C125" s="136">
        <f t="shared" si="2"/>
        <v>29787</v>
      </c>
      <c r="D125" s="138">
        <f t="shared" si="3"/>
        <v>2.3387901517925609E-4</v>
      </c>
      <c r="E125" s="158"/>
      <c r="F125" s="150">
        <f>VLOOKUP(A125,'OPEB Amounts_Report'!$A$10:$A$319,1,FALSE)</f>
        <v>2430</v>
      </c>
      <c r="G125" s="86"/>
      <c r="H125" s="87"/>
    </row>
    <row r="126" spans="1:8">
      <c r="A126" s="10">
        <v>9150</v>
      </c>
      <c r="B126" s="11" t="s">
        <v>114</v>
      </c>
      <c r="C126" s="135">
        <f t="shared" si="2"/>
        <v>16705</v>
      </c>
      <c r="D126" s="137">
        <f t="shared" si="3"/>
        <v>1.3116288812466757E-4</v>
      </c>
      <c r="E126" s="158"/>
      <c r="F126" s="150">
        <f>VLOOKUP(A126,'OPEB Amounts_Report'!$A$10:$A$319,1,FALSE)</f>
        <v>9150</v>
      </c>
      <c r="G126" s="86"/>
      <c r="H126" s="87"/>
    </row>
    <row r="127" spans="1:8">
      <c r="A127" s="12">
        <v>6017</v>
      </c>
      <c r="B127" s="13" t="s">
        <v>115</v>
      </c>
      <c r="C127" s="136">
        <f t="shared" si="2"/>
        <v>1601183</v>
      </c>
      <c r="D127" s="138">
        <f t="shared" si="3"/>
        <v>1.2572031529249902E-2</v>
      </c>
      <c r="E127" s="158"/>
      <c r="F127" s="150">
        <f>VLOOKUP(A127,'OPEB Amounts_Report'!$A$10:$A$319,1,FALSE)</f>
        <v>6017</v>
      </c>
      <c r="G127" s="86"/>
      <c r="H127" s="87"/>
    </row>
    <row r="128" spans="1:8">
      <c r="A128" s="10">
        <v>26080</v>
      </c>
      <c r="B128" s="11" t="s">
        <v>116</v>
      </c>
      <c r="C128" s="135">
        <f t="shared" si="2"/>
        <v>47414</v>
      </c>
      <c r="D128" s="137">
        <f t="shared" si="3"/>
        <v>3.7228118392954138E-4</v>
      </c>
      <c r="E128" s="158"/>
      <c r="F128" s="150">
        <f>VLOOKUP(A128,'OPEB Amounts_Report'!$A$10:$A$319,1,FALSE)</f>
        <v>26080</v>
      </c>
      <c r="G128" s="86"/>
      <c r="H128" s="87"/>
    </row>
    <row r="129" spans="1:8">
      <c r="A129" s="12">
        <v>2327</v>
      </c>
      <c r="B129" s="13" t="s">
        <v>117</v>
      </c>
      <c r="C129" s="136">
        <f t="shared" si="2"/>
        <v>59232</v>
      </c>
      <c r="D129" s="138">
        <f t="shared" si="3"/>
        <v>4.6507274405269735E-4</v>
      </c>
      <c r="E129" s="158"/>
      <c r="F129" s="150">
        <f>VLOOKUP(A129,'OPEB Amounts_Report'!$A$10:$A$319,1,FALSE)</f>
        <v>2327</v>
      </c>
      <c r="G129" s="86"/>
      <c r="H129" s="87"/>
    </row>
    <row r="130" spans="1:8">
      <c r="A130" s="10">
        <v>10119</v>
      </c>
      <c r="B130" s="11" t="s">
        <v>118</v>
      </c>
      <c r="C130" s="135">
        <f t="shared" si="2"/>
        <v>27225</v>
      </c>
      <c r="D130" s="137">
        <f t="shared" si="3"/>
        <v>2.1376292302867852E-4</v>
      </c>
      <c r="E130" s="158"/>
      <c r="F130" s="150">
        <f>VLOOKUP(A130,'OPEB Amounts_Report'!$A$10:$A$319,1,FALSE)</f>
        <v>10119</v>
      </c>
      <c r="G130" s="86"/>
      <c r="H130" s="87"/>
    </row>
    <row r="131" spans="1:8">
      <c r="A131" s="12">
        <v>573</v>
      </c>
      <c r="B131" s="13" t="s">
        <v>394</v>
      </c>
      <c r="C131" s="136">
        <f t="shared" si="2"/>
        <v>139317</v>
      </c>
      <c r="D131" s="138">
        <f t="shared" si="3"/>
        <v>1.0938772873309974E-3</v>
      </c>
      <c r="E131" s="158"/>
      <c r="F131" s="150" t="e">
        <f>VLOOKUP(A131,'OPEB Amounts_Report'!$A$10:$A$319,1,FALSE)</f>
        <v>#N/A</v>
      </c>
      <c r="G131" s="86"/>
      <c r="H131" s="87"/>
    </row>
    <row r="132" spans="1:8">
      <c r="A132" s="10">
        <v>2368</v>
      </c>
      <c r="B132" s="11" t="s">
        <v>119</v>
      </c>
      <c r="C132" s="135">
        <f t="shared" si="2"/>
        <v>57335</v>
      </c>
      <c r="D132" s="137">
        <f t="shared" si="3"/>
        <v>4.5017804194120417E-4</v>
      </c>
      <c r="E132" s="158"/>
      <c r="F132" s="150">
        <f>VLOOKUP(A132,'OPEB Amounts_Report'!$A$10:$A$319,1,FALSE)</f>
        <v>2368</v>
      </c>
      <c r="G132" s="86"/>
      <c r="H132" s="87"/>
    </row>
    <row r="133" spans="1:8">
      <c r="A133" s="12">
        <v>7420</v>
      </c>
      <c r="B133" s="13" t="s">
        <v>120</v>
      </c>
      <c r="C133" s="136">
        <f t="shared" si="2"/>
        <v>34442</v>
      </c>
      <c r="D133" s="138">
        <f t="shared" si="3"/>
        <v>2.704287454528465E-4</v>
      </c>
      <c r="E133" s="158"/>
      <c r="F133" s="150">
        <f>VLOOKUP(A133,'OPEB Amounts_Report'!$A$10:$A$319,1,FALSE)</f>
        <v>7420</v>
      </c>
      <c r="G133" s="86"/>
      <c r="H133" s="87"/>
    </row>
    <row r="134" spans="1:8">
      <c r="A134" s="10">
        <v>6018</v>
      </c>
      <c r="B134" s="11" t="s">
        <v>121</v>
      </c>
      <c r="C134" s="135">
        <f t="shared" si="2"/>
        <v>116952</v>
      </c>
      <c r="D134" s="137">
        <f t="shared" si="3"/>
        <v>9.1827369601652929E-4</v>
      </c>
      <c r="E134" s="158"/>
      <c r="F134" s="150">
        <f>VLOOKUP(A134,'OPEB Amounts_Report'!$A$10:$A$319,1,FALSE)</f>
        <v>6018</v>
      </c>
      <c r="G134" s="86"/>
      <c r="H134" s="87"/>
    </row>
    <row r="135" spans="1:8">
      <c r="A135" s="12">
        <v>3321</v>
      </c>
      <c r="B135" s="13" t="s">
        <v>122</v>
      </c>
      <c r="C135" s="136">
        <f t="shared" si="2"/>
        <v>34845</v>
      </c>
      <c r="D135" s="138">
        <f t="shared" si="3"/>
        <v>2.7359298633367502E-4</v>
      </c>
      <c r="E135" s="158"/>
      <c r="F135" s="150">
        <f>VLOOKUP(A135,'OPEB Amounts_Report'!$A$10:$A$319,1,FALSE)</f>
        <v>3321</v>
      </c>
      <c r="G135" s="86"/>
      <c r="H135" s="87"/>
    </row>
    <row r="136" spans="1:8">
      <c r="A136" s="10">
        <v>29122</v>
      </c>
      <c r="B136" s="11" t="s">
        <v>123</v>
      </c>
      <c r="C136" s="135">
        <f t="shared" si="2"/>
        <v>45044</v>
      </c>
      <c r="D136" s="137">
        <f t="shared" si="3"/>
        <v>3.5367262093310541E-4</v>
      </c>
      <c r="E136" s="158"/>
      <c r="F136" s="150">
        <f>VLOOKUP(A136,'OPEB Amounts_Report'!$A$10:$A$319,1,FALSE)</f>
        <v>29122</v>
      </c>
      <c r="G136" s="86"/>
      <c r="H136" s="87"/>
    </row>
    <row r="137" spans="1:8">
      <c r="A137" s="183">
        <v>29088</v>
      </c>
      <c r="B137" s="184" t="s">
        <v>124</v>
      </c>
      <c r="C137" s="185">
        <f t="shared" ref="C137:C200" si="4">+VLOOKUP(A137,$D$321:$F$629,3,FALSE)</f>
        <v>67305</v>
      </c>
      <c r="D137" s="186">
        <f t="shared" ref="D137:D200" si="5">+C137/$C$316</f>
        <v>5.2845963395574684E-4</v>
      </c>
      <c r="E137" s="158"/>
      <c r="F137" s="150">
        <f>VLOOKUP(A137,'OPEB Amounts_Report'!$A$10:$A$319,1,FALSE)</f>
        <v>29088</v>
      </c>
      <c r="G137" s="86"/>
      <c r="H137" s="87"/>
    </row>
    <row r="138" spans="1:8">
      <c r="A138" s="10">
        <v>7337</v>
      </c>
      <c r="B138" s="11" t="s">
        <v>125</v>
      </c>
      <c r="C138" s="135">
        <f t="shared" si="4"/>
        <v>13352</v>
      </c>
      <c r="D138" s="137">
        <f t="shared" si="5"/>
        <v>1.0483608992760021E-4</v>
      </c>
      <c r="E138" s="158"/>
      <c r="F138" s="150">
        <f>VLOOKUP(A138,'OPEB Amounts_Report'!$A$10:$A$319,1,FALSE)</f>
        <v>7337</v>
      </c>
      <c r="G138" s="86"/>
      <c r="H138" s="87"/>
    </row>
    <row r="139" spans="1:8">
      <c r="A139" s="12">
        <v>2329</v>
      </c>
      <c r="B139" s="13" t="s">
        <v>126</v>
      </c>
      <c r="C139" s="136">
        <f t="shared" si="4"/>
        <v>45591</v>
      </c>
      <c r="D139" s="138">
        <f t="shared" si="5"/>
        <v>3.5796750867954022E-4</v>
      </c>
      <c r="E139" s="158"/>
      <c r="F139" s="150">
        <f>VLOOKUP(A139,'OPEB Amounts_Report'!$A$10:$A$319,1,FALSE)</f>
        <v>2329</v>
      </c>
      <c r="G139" s="86"/>
      <c r="H139" s="87"/>
    </row>
    <row r="140" spans="1:8">
      <c r="A140" s="10">
        <v>4010</v>
      </c>
      <c r="B140" s="11" t="s">
        <v>129</v>
      </c>
      <c r="C140" s="135">
        <f t="shared" si="4"/>
        <v>37816</v>
      </c>
      <c r="D140" s="137">
        <f t="shared" si="5"/>
        <v>2.969204296511481E-4</v>
      </c>
      <c r="E140" s="158"/>
      <c r="F140" s="150">
        <f>VLOOKUP(A140,'OPEB Amounts_Report'!$A$10:$A$319,1,FALSE)</f>
        <v>4010</v>
      </c>
      <c r="G140" s="86"/>
      <c r="H140" s="87"/>
    </row>
    <row r="141" spans="1:8">
      <c r="A141" s="12">
        <v>7023</v>
      </c>
      <c r="B141" s="13" t="s">
        <v>410</v>
      </c>
      <c r="C141" s="136">
        <f t="shared" si="4"/>
        <v>4206257</v>
      </c>
      <c r="D141" s="138">
        <f t="shared" si="5"/>
        <v>3.3026328423501936E-2</v>
      </c>
      <c r="E141" s="158"/>
      <c r="F141" s="150">
        <f>VLOOKUP(A141,'OPEB Amounts_Report'!$A$10:$A$319,1,FALSE)</f>
        <v>7023</v>
      </c>
      <c r="G141" s="86"/>
      <c r="H141" s="87"/>
    </row>
    <row r="142" spans="1:8">
      <c r="A142" s="10">
        <v>7338</v>
      </c>
      <c r="B142" s="11" t="s">
        <v>131</v>
      </c>
      <c r="C142" s="135">
        <f t="shared" si="4"/>
        <v>30822</v>
      </c>
      <c r="D142" s="137">
        <f t="shared" si="5"/>
        <v>2.4200553952580091E-4</v>
      </c>
      <c r="E142" s="158"/>
      <c r="F142" s="150">
        <f>VLOOKUP(A142,'OPEB Amounts_Report'!$A$10:$A$319,1,FALSE)</f>
        <v>7338</v>
      </c>
      <c r="G142" s="86"/>
      <c r="H142" s="87"/>
    </row>
    <row r="143" spans="1:8">
      <c r="A143" s="12">
        <v>12037</v>
      </c>
      <c r="B143" s="13" t="s">
        <v>132</v>
      </c>
      <c r="C143" s="136">
        <f t="shared" si="4"/>
        <v>245347</v>
      </c>
      <c r="D143" s="138">
        <f t="shared" si="5"/>
        <v>1.9263945592770317E-3</v>
      </c>
      <c r="E143" s="158"/>
      <c r="F143" s="150">
        <f>VLOOKUP(A143,'OPEB Amounts_Report'!$A$10:$A$319,1,FALSE)</f>
        <v>12037</v>
      </c>
      <c r="G143" s="86"/>
      <c r="H143" s="87"/>
    </row>
    <row r="144" spans="1:8">
      <c r="A144" s="10">
        <v>3150</v>
      </c>
      <c r="B144" s="11" t="s">
        <v>133</v>
      </c>
      <c r="C144" s="135">
        <f t="shared" si="4"/>
        <v>551424</v>
      </c>
      <c r="D144" s="137">
        <f t="shared" si="5"/>
        <v>4.3296237306948036E-3</v>
      </c>
      <c r="E144" s="158"/>
      <c r="F144" s="150">
        <f>VLOOKUP(A144,'OPEB Amounts_Report'!$A$10:$A$319,1,FALSE)</f>
        <v>3150</v>
      </c>
      <c r="G144" s="86"/>
      <c r="H144" s="87"/>
    </row>
    <row r="145" spans="1:8">
      <c r="A145" s="12">
        <v>3160</v>
      </c>
      <c r="B145" s="13" t="s">
        <v>134</v>
      </c>
      <c r="C145" s="136">
        <f t="shared" si="4"/>
        <v>117995</v>
      </c>
      <c r="D145" s="138">
        <f t="shared" si="5"/>
        <v>9.2646303407783006E-4</v>
      </c>
      <c r="E145" s="158"/>
      <c r="F145" s="150">
        <f>VLOOKUP(A145,'OPEB Amounts_Report'!$A$10:$A$319,1,FALSE)</f>
        <v>3160</v>
      </c>
      <c r="G145" s="86"/>
      <c r="H145" s="87"/>
    </row>
    <row r="146" spans="1:8">
      <c r="A146" s="10">
        <v>10120</v>
      </c>
      <c r="B146" s="11" t="s">
        <v>135</v>
      </c>
      <c r="C146" s="135">
        <f t="shared" si="4"/>
        <v>57587</v>
      </c>
      <c r="D146" s="137">
        <f t="shared" si="5"/>
        <v>4.5215667395601507E-4</v>
      </c>
      <c r="E146" s="158"/>
      <c r="F146" s="150">
        <f>VLOOKUP(A146,'OPEB Amounts_Report'!$A$10:$A$319,1,FALSE)</f>
        <v>10120</v>
      </c>
      <c r="G146" s="86"/>
      <c r="H146" s="87"/>
    </row>
    <row r="147" spans="1:8">
      <c r="A147" s="12">
        <v>23070</v>
      </c>
      <c r="B147" s="13" t="s">
        <v>136</v>
      </c>
      <c r="C147" s="136">
        <f t="shared" si="4"/>
        <v>85337</v>
      </c>
      <c r="D147" s="138">
        <f t="shared" si="5"/>
        <v>6.7004174701554959E-4</v>
      </c>
      <c r="E147" s="158"/>
      <c r="F147" s="150">
        <f>VLOOKUP(A147,'OPEB Amounts_Report'!$A$10:$A$319,1,FALSE)</f>
        <v>23070</v>
      </c>
      <c r="G147" s="86"/>
      <c r="H147" s="87"/>
    </row>
    <row r="148" spans="1:8">
      <c r="A148" s="10">
        <v>3170</v>
      </c>
      <c r="B148" s="11" t="s">
        <v>137</v>
      </c>
      <c r="C148" s="135">
        <f t="shared" si="4"/>
        <v>1270705</v>
      </c>
      <c r="D148" s="137">
        <f t="shared" si="5"/>
        <v>9.9772126761122834E-3</v>
      </c>
      <c r="E148" s="158"/>
      <c r="F148" s="150">
        <f>VLOOKUP(A148,'OPEB Amounts_Report'!$A$10:$A$319,1,FALSE)</f>
        <v>3170</v>
      </c>
      <c r="G148" s="86"/>
      <c r="H148" s="87"/>
    </row>
    <row r="149" spans="1:8">
      <c r="A149" s="12">
        <v>32093</v>
      </c>
      <c r="B149" s="13" t="s">
        <v>138</v>
      </c>
      <c r="C149" s="136">
        <f t="shared" si="4"/>
        <v>773102</v>
      </c>
      <c r="D149" s="138">
        <f t="shared" si="5"/>
        <v>6.0701760631521554E-3</v>
      </c>
      <c r="E149" s="158"/>
      <c r="F149" s="150">
        <f>VLOOKUP(A149,'OPEB Amounts_Report'!$A$10:$A$319,1,FALSE)</f>
        <v>32093</v>
      </c>
      <c r="G149" s="86"/>
      <c r="H149" s="87"/>
    </row>
    <row r="150" spans="1:8">
      <c r="A150" s="10">
        <v>14045</v>
      </c>
      <c r="B150" s="11" t="s">
        <v>139</v>
      </c>
      <c r="C150" s="135">
        <f t="shared" si="4"/>
        <v>1458267</v>
      </c>
      <c r="D150" s="137">
        <f t="shared" si="5"/>
        <v>1.1449895921993093E-2</v>
      </c>
      <c r="E150" s="158"/>
      <c r="F150" s="150">
        <f>VLOOKUP(A150,'OPEB Amounts_Report'!$A$10:$A$319,1,FALSE)</f>
        <v>14045</v>
      </c>
      <c r="G150" s="86"/>
      <c r="H150" s="87"/>
    </row>
    <row r="151" spans="1:8">
      <c r="A151" s="12">
        <v>2322</v>
      </c>
      <c r="B151" s="13" t="s">
        <v>140</v>
      </c>
      <c r="C151" s="136">
        <f t="shared" si="4"/>
        <v>26101</v>
      </c>
      <c r="D151" s="138">
        <f t="shared" si="5"/>
        <v>2.0493759610547431E-4</v>
      </c>
      <c r="E151" s="158"/>
      <c r="F151" s="150">
        <f>VLOOKUP(A151,'OPEB Amounts_Report'!$A$10:$A$319,1,FALSE)</f>
        <v>2322</v>
      </c>
      <c r="G151" s="86"/>
      <c r="H151" s="87"/>
    </row>
    <row r="152" spans="1:8">
      <c r="A152" s="10">
        <v>3006</v>
      </c>
      <c r="B152" s="11" t="s">
        <v>141</v>
      </c>
      <c r="C152" s="135">
        <f t="shared" si="4"/>
        <v>114247</v>
      </c>
      <c r="D152" s="137">
        <f t="shared" si="5"/>
        <v>8.9703480871468995E-4</v>
      </c>
      <c r="E152" s="158"/>
      <c r="F152" s="150">
        <f>VLOOKUP(A152,'OPEB Amounts_Report'!$A$10:$A$319,1,FALSE)</f>
        <v>3006</v>
      </c>
      <c r="G152" s="86"/>
      <c r="H152" s="87"/>
    </row>
    <row r="153" spans="1:8">
      <c r="A153" s="12">
        <v>6019</v>
      </c>
      <c r="B153" s="13" t="s">
        <v>142</v>
      </c>
      <c r="C153" s="136">
        <f t="shared" si="4"/>
        <v>611274</v>
      </c>
      <c r="D153" s="138">
        <f t="shared" si="5"/>
        <v>4.7995488342123943E-3</v>
      </c>
      <c r="E153" s="158"/>
      <c r="F153" s="150">
        <f>VLOOKUP(A153,'OPEB Amounts_Report'!$A$10:$A$319,1,FALSE)</f>
        <v>6019</v>
      </c>
      <c r="G153" s="86"/>
      <c r="H153" s="87"/>
    </row>
    <row r="154" spans="1:8">
      <c r="A154" s="10">
        <v>12128</v>
      </c>
      <c r="B154" s="11" t="s">
        <v>143</v>
      </c>
      <c r="C154" s="135">
        <f t="shared" si="4"/>
        <v>117849</v>
      </c>
      <c r="D154" s="137">
        <f t="shared" si="5"/>
        <v>9.2531668378353481E-4</v>
      </c>
      <c r="E154" s="158"/>
      <c r="F154" s="150">
        <f>VLOOKUP(A154,'OPEB Amounts_Report'!$A$10:$A$319,1,FALSE)</f>
        <v>12128</v>
      </c>
      <c r="G154" s="86"/>
      <c r="H154" s="87"/>
    </row>
    <row r="155" spans="1:8">
      <c r="A155" s="12">
        <v>3180</v>
      </c>
      <c r="B155" s="13" t="s">
        <v>144</v>
      </c>
      <c r="C155" s="136">
        <f t="shared" si="4"/>
        <v>218590</v>
      </c>
      <c r="D155" s="138">
        <f t="shared" si="5"/>
        <v>1.7163062385615734E-3</v>
      </c>
      <c r="E155" s="158"/>
      <c r="F155" s="150">
        <f>VLOOKUP(A155,'OPEB Amounts_Report'!$A$10:$A$319,1,FALSE)</f>
        <v>3180</v>
      </c>
      <c r="G155" s="86"/>
      <c r="H155" s="87"/>
    </row>
    <row r="156" spans="1:8">
      <c r="A156" s="10">
        <v>25075</v>
      </c>
      <c r="B156" s="11" t="s">
        <v>145</v>
      </c>
      <c r="C156" s="135">
        <f t="shared" si="4"/>
        <v>95664</v>
      </c>
      <c r="D156" s="137">
        <f t="shared" si="5"/>
        <v>7.5112640105107448E-4</v>
      </c>
      <c r="E156" s="158"/>
      <c r="F156" s="150">
        <f>VLOOKUP(A156,'OPEB Amounts_Report'!$A$10:$A$319,1,FALSE)</f>
        <v>25075</v>
      </c>
      <c r="G156" s="86"/>
      <c r="H156" s="87"/>
    </row>
    <row r="157" spans="1:8">
      <c r="A157" s="12">
        <v>2311</v>
      </c>
      <c r="B157" s="13" t="s">
        <v>411</v>
      </c>
      <c r="C157" s="136">
        <f t="shared" si="4"/>
        <v>39408</v>
      </c>
      <c r="D157" s="138">
        <f t="shared" si="5"/>
        <v>3.0942035888757258E-4</v>
      </c>
      <c r="E157" s="158"/>
      <c r="F157" s="150">
        <f>VLOOKUP(A157,'OPEB Amounts_Report'!$A$10:$A$319,1,FALSE)</f>
        <v>2311</v>
      </c>
      <c r="G157" s="86"/>
      <c r="H157" s="87"/>
    </row>
    <row r="158" spans="1:8">
      <c r="A158" s="10">
        <v>9028</v>
      </c>
      <c r="B158" s="11" t="s">
        <v>146</v>
      </c>
      <c r="C158" s="135">
        <f t="shared" si="4"/>
        <v>32415</v>
      </c>
      <c r="D158" s="137">
        <f t="shared" si="5"/>
        <v>2.5451332047656986E-4</v>
      </c>
      <c r="E158" s="158"/>
      <c r="F158" s="150">
        <f>VLOOKUP(A158,'OPEB Amounts_Report'!$A$10:$A$319,1,FALSE)</f>
        <v>9028</v>
      </c>
      <c r="G158" s="86"/>
      <c r="H158" s="87"/>
    </row>
    <row r="159" spans="1:8">
      <c r="A159" s="12">
        <v>17424</v>
      </c>
      <c r="B159" s="13" t="s">
        <v>147</v>
      </c>
      <c r="C159" s="136">
        <f t="shared" si="4"/>
        <v>69313</v>
      </c>
      <c r="D159" s="138">
        <f t="shared" si="5"/>
        <v>5.4422587635947822E-4</v>
      </c>
      <c r="E159" s="158"/>
      <c r="F159" s="150">
        <f>VLOOKUP(A159,'OPEB Amounts_Report'!$A$10:$A$319,1,FALSE)</f>
        <v>17424</v>
      </c>
      <c r="G159" s="86"/>
      <c r="H159" s="87"/>
    </row>
    <row r="160" spans="1:8">
      <c r="A160" s="10">
        <v>3200</v>
      </c>
      <c r="B160" s="11" t="s">
        <v>148</v>
      </c>
      <c r="C160" s="135">
        <f t="shared" si="4"/>
        <v>226692</v>
      </c>
      <c r="D160" s="137">
        <f t="shared" si="5"/>
        <v>1.779920828180613E-3</v>
      </c>
      <c r="E160" s="158"/>
      <c r="F160" s="150">
        <f>VLOOKUP(A160,'OPEB Amounts_Report'!$A$10:$A$319,1,FALSE)</f>
        <v>3200</v>
      </c>
      <c r="G160" s="86"/>
      <c r="H160" s="87"/>
    </row>
    <row r="161" spans="1:8">
      <c r="A161" s="12">
        <v>2365</v>
      </c>
      <c r="B161" s="13" t="s">
        <v>149</v>
      </c>
      <c r="C161" s="136">
        <f t="shared" si="4"/>
        <v>26966</v>
      </c>
      <c r="D161" s="138">
        <f t="shared" si="5"/>
        <v>2.117293290134562E-4</v>
      </c>
      <c r="E161" s="158"/>
      <c r="F161" s="150">
        <f>VLOOKUP(A161,'OPEB Amounts_Report'!$A$10:$A$319,1,FALSE)</f>
        <v>2365</v>
      </c>
      <c r="G161" s="86"/>
      <c r="H161" s="87"/>
    </row>
    <row r="162" spans="1:8">
      <c r="A162" s="10">
        <v>5014</v>
      </c>
      <c r="B162" s="11" t="s">
        <v>150</v>
      </c>
      <c r="C162" s="135">
        <f t="shared" si="4"/>
        <v>48924</v>
      </c>
      <c r="D162" s="137">
        <f t="shared" si="5"/>
        <v>3.8413727258971783E-4</v>
      </c>
      <c r="E162" s="158"/>
      <c r="F162" s="150">
        <f>VLOOKUP(A162,'OPEB Amounts_Report'!$A$10:$A$319,1,FALSE)</f>
        <v>5014</v>
      </c>
      <c r="G162" s="86"/>
      <c r="H162" s="87"/>
    </row>
    <row r="163" spans="1:8">
      <c r="A163" s="12">
        <v>17127</v>
      </c>
      <c r="B163" s="13" t="s">
        <v>151</v>
      </c>
      <c r="C163" s="136">
        <f t="shared" si="4"/>
        <v>55317</v>
      </c>
      <c r="D163" s="138">
        <f t="shared" si="5"/>
        <v>4.3433328239402788E-4</v>
      </c>
      <c r="E163" s="158"/>
      <c r="F163" s="150">
        <f>VLOOKUP(A163,'OPEB Amounts_Report'!$A$10:$A$319,1,FALSE)</f>
        <v>17127</v>
      </c>
      <c r="G163" s="86"/>
      <c r="H163" s="87"/>
    </row>
    <row r="164" spans="1:8">
      <c r="A164" s="10">
        <v>10141</v>
      </c>
      <c r="B164" s="11" t="s">
        <v>152</v>
      </c>
      <c r="C164" s="135">
        <f t="shared" si="4"/>
        <v>71155</v>
      </c>
      <c r="D164" s="137">
        <f t="shared" si="5"/>
        <v>5.5868873418202464E-4</v>
      </c>
      <c r="E164" s="158"/>
      <c r="F164" s="150">
        <f>VLOOKUP(A164,'OPEB Amounts_Report'!$A$10:$A$319,1,FALSE)</f>
        <v>10141</v>
      </c>
      <c r="G164" s="86"/>
      <c r="H164" s="87"/>
    </row>
    <row r="165" spans="1:8">
      <c r="A165" s="12">
        <v>13369</v>
      </c>
      <c r="B165" s="13" t="s">
        <v>153</v>
      </c>
      <c r="C165" s="136">
        <f t="shared" si="4"/>
        <v>18059</v>
      </c>
      <c r="D165" s="138">
        <f t="shared" si="5"/>
        <v>1.4179410934710395E-4</v>
      </c>
      <c r="E165" s="158"/>
      <c r="F165" s="150">
        <f>VLOOKUP(A165,'OPEB Amounts_Report'!$A$10:$A$319,1,FALSE)</f>
        <v>13369</v>
      </c>
      <c r="G165" s="86"/>
      <c r="H165" s="87"/>
    </row>
    <row r="166" spans="1:8">
      <c r="A166" s="10">
        <v>4570</v>
      </c>
      <c r="B166" s="11" t="s">
        <v>395</v>
      </c>
      <c r="C166" s="135">
        <f t="shared" si="4"/>
        <v>193245</v>
      </c>
      <c r="D166" s="137">
        <f t="shared" si="5"/>
        <v>1.5173045385005318E-3</v>
      </c>
      <c r="E166" s="158"/>
      <c r="F166" s="150">
        <f>VLOOKUP(A166,'OPEB Amounts_Report'!$A$10:$A$319,1,FALSE)</f>
        <v>4570</v>
      </c>
      <c r="G166" s="86"/>
      <c r="H166" s="87"/>
    </row>
    <row r="167" spans="1:8">
      <c r="A167" s="12">
        <v>2425</v>
      </c>
      <c r="B167" s="13" t="s">
        <v>154</v>
      </c>
      <c r="C167" s="136">
        <f t="shared" si="4"/>
        <v>321573</v>
      </c>
      <c r="D167" s="138">
        <f t="shared" si="5"/>
        <v>2.5248993368999538E-3</v>
      </c>
      <c r="E167" s="158"/>
      <c r="F167" s="150">
        <f>VLOOKUP(A167,'OPEB Amounts_Report'!$A$10:$A$319,1,FALSE)</f>
        <v>2425</v>
      </c>
      <c r="G167" s="86"/>
      <c r="H167" s="87"/>
    </row>
    <row r="168" spans="1:8">
      <c r="A168" s="10">
        <v>1306</v>
      </c>
      <c r="B168" s="11" t="s">
        <v>155</v>
      </c>
      <c r="C168" s="135">
        <f t="shared" si="4"/>
        <v>54451</v>
      </c>
      <c r="D168" s="137">
        <f t="shared" si="5"/>
        <v>4.2753369777170154E-4</v>
      </c>
      <c r="E168" s="158"/>
      <c r="F168" s="150">
        <f>VLOOKUP(A168,'OPEB Amounts_Report'!$A$10:$A$319,1,FALSE)</f>
        <v>1306</v>
      </c>
      <c r="G168" s="86"/>
      <c r="H168" s="87"/>
    </row>
    <row r="169" spans="1:8">
      <c r="A169" s="12">
        <v>2351</v>
      </c>
      <c r="B169" s="13" t="s">
        <v>156</v>
      </c>
      <c r="C169" s="136">
        <f t="shared" si="4"/>
        <v>59832</v>
      </c>
      <c r="D169" s="138">
        <f t="shared" si="5"/>
        <v>4.6978377265939001E-4</v>
      </c>
      <c r="E169" s="158"/>
      <c r="F169" s="150">
        <f>VLOOKUP(A169,'OPEB Amounts_Report'!$A$10:$A$319,1,FALSE)</f>
        <v>2351</v>
      </c>
      <c r="G169" s="86"/>
      <c r="H169" s="87"/>
    </row>
    <row r="170" spans="1:8">
      <c r="A170" s="10">
        <v>2334</v>
      </c>
      <c r="B170" s="11" t="s">
        <v>157</v>
      </c>
      <c r="C170" s="135">
        <f t="shared" si="4"/>
        <v>41767</v>
      </c>
      <c r="D170" s="137">
        <f t="shared" si="5"/>
        <v>3.2794255302621912E-4</v>
      </c>
      <c r="E170" s="158"/>
      <c r="F170" s="150">
        <f>VLOOKUP(A170,'OPEB Amounts_Report'!$A$10:$A$319,1,FALSE)</f>
        <v>2334</v>
      </c>
      <c r="G170" s="86"/>
      <c r="H170" s="87"/>
    </row>
    <row r="171" spans="1:8">
      <c r="A171" s="12">
        <v>30089</v>
      </c>
      <c r="B171" s="13" t="s">
        <v>158</v>
      </c>
      <c r="C171" s="136">
        <f t="shared" si="4"/>
        <v>104735</v>
      </c>
      <c r="D171" s="138">
        <f t="shared" si="5"/>
        <v>8.2234930186992272E-4</v>
      </c>
      <c r="E171" s="158"/>
      <c r="F171" s="150">
        <f>VLOOKUP(A171,'OPEB Amounts_Report'!$A$10:$A$319,1,FALSE)</f>
        <v>30089</v>
      </c>
      <c r="G171" s="86"/>
      <c r="H171" s="87"/>
    </row>
    <row r="172" spans="1:8">
      <c r="A172" s="10">
        <v>9324</v>
      </c>
      <c r="B172" s="11" t="s">
        <v>159</v>
      </c>
      <c r="C172" s="135">
        <f t="shared" si="4"/>
        <v>12624</v>
      </c>
      <c r="D172" s="137">
        <f t="shared" si="5"/>
        <v>9.9120041884813136E-5</v>
      </c>
      <c r="E172" s="158"/>
      <c r="F172" s="150">
        <f>VLOOKUP(A172,'OPEB Amounts_Report'!$A$10:$A$319,1,FALSE)</f>
        <v>9324</v>
      </c>
      <c r="G172" s="86"/>
      <c r="H172" s="87"/>
    </row>
    <row r="173" spans="1:8">
      <c r="A173" s="12">
        <v>22066</v>
      </c>
      <c r="B173" s="13" t="s">
        <v>160</v>
      </c>
      <c r="C173" s="136">
        <f t="shared" si="4"/>
        <v>445899</v>
      </c>
      <c r="D173" s="138">
        <f t="shared" si="5"/>
        <v>3.5010715744927356E-3</v>
      </c>
      <c r="E173" s="158"/>
      <c r="F173" s="150">
        <f>VLOOKUP(A173,'OPEB Amounts_Report'!$A$10:$A$319,1,FALSE)</f>
        <v>22066</v>
      </c>
      <c r="G173" s="86"/>
      <c r="H173" s="87"/>
    </row>
    <row r="174" spans="1:8">
      <c r="A174" s="10">
        <v>16356</v>
      </c>
      <c r="B174" s="11" t="s">
        <v>161</v>
      </c>
      <c r="C174" s="135">
        <f t="shared" si="4"/>
        <v>27616</v>
      </c>
      <c r="D174" s="137">
        <f t="shared" si="5"/>
        <v>2.1683294333737322E-4</v>
      </c>
      <c r="E174" s="158"/>
      <c r="F174" s="150">
        <f>VLOOKUP(A174,'OPEB Amounts_Report'!$A$10:$A$319,1,FALSE)</f>
        <v>16356</v>
      </c>
      <c r="G174" s="86"/>
      <c r="H174" s="87"/>
    </row>
    <row r="175" spans="1:8">
      <c r="A175" s="12">
        <v>31091</v>
      </c>
      <c r="B175" s="13" t="s">
        <v>162</v>
      </c>
      <c r="C175" s="136">
        <f t="shared" si="4"/>
        <v>26024</v>
      </c>
      <c r="D175" s="138">
        <f t="shared" si="5"/>
        <v>2.0433301410094874E-4</v>
      </c>
      <c r="E175" s="158"/>
      <c r="F175" s="150">
        <f>VLOOKUP(A175,'OPEB Amounts_Report'!$A$10:$A$319,1,FALSE)</f>
        <v>31091</v>
      </c>
      <c r="G175" s="86"/>
      <c r="H175" s="87"/>
    </row>
    <row r="176" spans="1:8">
      <c r="A176" s="10">
        <v>2342</v>
      </c>
      <c r="B176" s="11" t="s">
        <v>163</v>
      </c>
      <c r="C176" s="135">
        <f t="shared" si="4"/>
        <v>42110</v>
      </c>
      <c r="D176" s="137">
        <f t="shared" si="5"/>
        <v>3.306356910463784E-4</v>
      </c>
      <c r="E176" s="158"/>
      <c r="F176" s="150">
        <f>VLOOKUP(A176,'OPEB Amounts_Report'!$A$10:$A$319,1,FALSE)</f>
        <v>2342</v>
      </c>
      <c r="G176" s="86"/>
      <c r="H176" s="87"/>
    </row>
    <row r="177" spans="1:8">
      <c r="A177" s="12">
        <v>22067</v>
      </c>
      <c r="B177" s="13" t="s">
        <v>164</v>
      </c>
      <c r="C177" s="136">
        <f t="shared" si="4"/>
        <v>60366</v>
      </c>
      <c r="D177" s="138">
        <f t="shared" si="5"/>
        <v>4.7397658811934644E-4</v>
      </c>
      <c r="E177" s="158"/>
      <c r="F177" s="150">
        <f>VLOOKUP(A177,'OPEB Amounts_Report'!$A$10:$A$319,1,FALSE)</f>
        <v>22067</v>
      </c>
      <c r="G177" s="86"/>
      <c r="H177" s="87"/>
    </row>
    <row r="178" spans="1:8">
      <c r="A178" s="10">
        <v>32112</v>
      </c>
      <c r="B178" s="11" t="s">
        <v>165</v>
      </c>
      <c r="C178" s="135">
        <f t="shared" si="4"/>
        <v>23332</v>
      </c>
      <c r="D178" s="137">
        <f t="shared" si="5"/>
        <v>1.8319619908558778E-4</v>
      </c>
      <c r="E178" s="158"/>
      <c r="F178" s="150" t="e">
        <f>VLOOKUP(A178,'OPEB Amounts_Report'!$A$10:$A$319,1,FALSE)</f>
        <v>#N/A</v>
      </c>
      <c r="G178" s="86"/>
      <c r="H178" s="87"/>
    </row>
    <row r="179" spans="1:8">
      <c r="A179" s="12">
        <v>2354</v>
      </c>
      <c r="B179" s="13" t="s">
        <v>166</v>
      </c>
      <c r="C179" s="136">
        <f t="shared" si="4"/>
        <v>94015</v>
      </c>
      <c r="D179" s="138">
        <f t="shared" si="5"/>
        <v>7.3817892409701422E-4</v>
      </c>
      <c r="E179" s="158"/>
      <c r="F179" s="150">
        <f>VLOOKUP(A179,'OPEB Amounts_Report'!$A$10:$A$319,1,FALSE)</f>
        <v>2354</v>
      </c>
      <c r="G179" s="86"/>
      <c r="H179" s="87"/>
    </row>
    <row r="180" spans="1:8">
      <c r="A180" s="10">
        <v>2148</v>
      </c>
      <c r="B180" s="11" t="s">
        <v>167</v>
      </c>
      <c r="C180" s="135">
        <f t="shared" si="4"/>
        <v>27570</v>
      </c>
      <c r="D180" s="137">
        <f t="shared" si="5"/>
        <v>2.1647176447752678E-4</v>
      </c>
      <c r="E180" s="158"/>
      <c r="F180" s="150">
        <f>VLOOKUP(A180,'OPEB Amounts_Report'!$A$10:$A$319,1,FALSE)</f>
        <v>2148</v>
      </c>
      <c r="G180" s="86"/>
      <c r="H180" s="87"/>
    </row>
    <row r="181" spans="1:8">
      <c r="A181" s="12">
        <v>1418</v>
      </c>
      <c r="B181" s="13" t="s">
        <v>168</v>
      </c>
      <c r="C181" s="136">
        <f t="shared" si="4"/>
        <v>126291</v>
      </c>
      <c r="D181" s="138">
        <f t="shared" si="5"/>
        <v>9.9160085627970017E-4</v>
      </c>
      <c r="E181" s="158"/>
      <c r="F181" s="150">
        <f>VLOOKUP(A181,'OPEB Amounts_Report'!$A$10:$A$319,1,FALSE)</f>
        <v>1418</v>
      </c>
      <c r="G181" s="86"/>
      <c r="H181" s="87"/>
    </row>
    <row r="182" spans="1:8">
      <c r="A182" s="10">
        <v>12102</v>
      </c>
      <c r="B182" s="11" t="s">
        <v>169</v>
      </c>
      <c r="C182" s="135">
        <f t="shared" si="4"/>
        <v>631193</v>
      </c>
      <c r="D182" s="137">
        <f t="shared" si="5"/>
        <v>4.9559471322402453E-3</v>
      </c>
      <c r="E182" s="158"/>
      <c r="F182" s="150">
        <f>VLOOKUP(A182,'OPEB Amounts_Report'!$A$10:$A$319,1,FALSE)</f>
        <v>12102</v>
      </c>
      <c r="G182" s="86"/>
      <c r="H182" s="87"/>
    </row>
    <row r="183" spans="1:8">
      <c r="A183" s="12">
        <v>2414</v>
      </c>
      <c r="B183" s="13" t="s">
        <v>170</v>
      </c>
      <c r="C183" s="136">
        <f t="shared" si="4"/>
        <v>63798</v>
      </c>
      <c r="D183" s="138">
        <f t="shared" si="5"/>
        <v>5.0092367174962838E-4</v>
      </c>
      <c r="E183" s="158"/>
      <c r="F183" s="150">
        <f>VLOOKUP(A183,'OPEB Amounts_Report'!$A$10:$A$319,1,FALSE)</f>
        <v>2414</v>
      </c>
      <c r="G183" s="86"/>
      <c r="H183" s="87"/>
    </row>
    <row r="184" spans="1:8">
      <c r="A184" s="10">
        <v>6124</v>
      </c>
      <c r="B184" s="11" t="s">
        <v>171</v>
      </c>
      <c r="C184" s="135">
        <f t="shared" si="4"/>
        <v>377527</v>
      </c>
      <c r="D184" s="137">
        <f t="shared" si="5"/>
        <v>2.9642341613314201E-3</v>
      </c>
      <c r="E184" s="158"/>
      <c r="F184" s="150">
        <f>VLOOKUP(A184,'OPEB Amounts_Report'!$A$10:$A$319,1,FALSE)</f>
        <v>6124</v>
      </c>
      <c r="G184" s="86"/>
      <c r="H184" s="87"/>
    </row>
    <row r="185" spans="1:8">
      <c r="A185" s="12">
        <v>4097</v>
      </c>
      <c r="B185" s="43" t="s">
        <v>172</v>
      </c>
      <c r="C185" s="156">
        <f t="shared" si="4"/>
        <v>363581</v>
      </c>
      <c r="D185" s="140">
        <f t="shared" si="5"/>
        <v>2.8547341530831944E-3</v>
      </c>
      <c r="E185" s="158"/>
      <c r="F185" s="150">
        <f>VLOOKUP(A185,'OPEB Amounts_Report'!$A$10:$A$319,1,FALSE)</f>
        <v>4097</v>
      </c>
      <c r="G185" s="86"/>
      <c r="H185" s="87"/>
    </row>
    <row r="186" spans="1:8">
      <c r="A186" s="10">
        <v>1416</v>
      </c>
      <c r="B186" s="11" t="s">
        <v>173</v>
      </c>
      <c r="C186" s="135">
        <f t="shared" si="4"/>
        <v>54824</v>
      </c>
      <c r="D186" s="137">
        <f t="shared" si="5"/>
        <v>4.3046238722219544E-4</v>
      </c>
      <c r="E186" s="158"/>
      <c r="F186" s="150">
        <f>VLOOKUP(A186,'OPEB Amounts_Report'!$A$10:$A$319,1,FALSE)</f>
        <v>1416</v>
      </c>
      <c r="G186" s="86"/>
      <c r="H186" s="87"/>
    </row>
    <row r="187" spans="1:8">
      <c r="A187" s="12">
        <v>1094</v>
      </c>
      <c r="B187" s="13" t="s">
        <v>174</v>
      </c>
      <c r="C187" s="136">
        <f t="shared" si="4"/>
        <v>242502</v>
      </c>
      <c r="D187" s="138">
        <f t="shared" si="5"/>
        <v>1.904056431966964E-3</v>
      </c>
      <c r="E187" s="158"/>
      <c r="F187" s="150">
        <f>VLOOKUP(A187,'OPEB Amounts_Report'!$A$10:$A$319,1,FALSE)</f>
        <v>1094</v>
      </c>
      <c r="G187" s="86"/>
      <c r="H187" s="87"/>
    </row>
    <row r="188" spans="1:8">
      <c r="A188" s="10">
        <v>32111</v>
      </c>
      <c r="B188" s="11" t="s">
        <v>175</v>
      </c>
      <c r="C188" s="135">
        <f t="shared" si="4"/>
        <v>252339</v>
      </c>
      <c r="D188" s="137">
        <f t="shared" si="5"/>
        <v>1.9812937459736898E-3</v>
      </c>
      <c r="E188" s="158"/>
      <c r="F188" s="150" t="e">
        <f>VLOOKUP(A188,'OPEB Amounts_Report'!$A$10:$A$319,1,FALSE)</f>
        <v>#N/A</v>
      </c>
      <c r="G188" s="86"/>
      <c r="H188" s="87"/>
    </row>
    <row r="189" spans="1:8">
      <c r="A189" s="12">
        <v>2520</v>
      </c>
      <c r="B189" s="13" t="s">
        <v>176</v>
      </c>
      <c r="C189" s="136">
        <f t="shared" si="4"/>
        <v>44909</v>
      </c>
      <c r="D189" s="138">
        <f t="shared" si="5"/>
        <v>3.5261263949659959E-4</v>
      </c>
      <c r="E189" s="158"/>
      <c r="F189" s="150">
        <f>VLOOKUP(A189,'OPEB Amounts_Report'!$A$10:$A$319,1,FALSE)</f>
        <v>2520</v>
      </c>
      <c r="G189" s="86"/>
      <c r="H189" s="87"/>
    </row>
    <row r="190" spans="1:8">
      <c r="A190" s="10">
        <v>3450</v>
      </c>
      <c r="B190" s="11" t="s">
        <v>177</v>
      </c>
      <c r="C190" s="135">
        <f t="shared" si="4"/>
        <v>78603</v>
      </c>
      <c r="D190" s="137">
        <f t="shared" si="5"/>
        <v>6.1716830261976927E-4</v>
      </c>
      <c r="E190" s="158"/>
      <c r="F190" s="150">
        <f>VLOOKUP(A190,'OPEB Amounts_Report'!$A$10:$A$319,1,FALSE)</f>
        <v>3450</v>
      </c>
      <c r="G190" s="86"/>
      <c r="H190" s="87"/>
    </row>
    <row r="191" spans="1:8">
      <c r="A191" s="12">
        <v>4310</v>
      </c>
      <c r="B191" s="13" t="s">
        <v>178</v>
      </c>
      <c r="C191" s="136">
        <f t="shared" si="4"/>
        <v>37496</v>
      </c>
      <c r="D191" s="138">
        <f t="shared" si="5"/>
        <v>2.94407881060912E-4</v>
      </c>
      <c r="E191" s="158"/>
      <c r="F191" s="150">
        <f>VLOOKUP(A191,'OPEB Amounts_Report'!$A$10:$A$319,1,FALSE)</f>
        <v>4310</v>
      </c>
      <c r="G191" s="86"/>
      <c r="H191" s="87"/>
    </row>
    <row r="192" spans="1:8">
      <c r="A192" s="10">
        <v>4215</v>
      </c>
      <c r="B192" s="11" t="s">
        <v>182</v>
      </c>
      <c r="C192" s="135">
        <f t="shared" si="4"/>
        <v>35707</v>
      </c>
      <c r="D192" s="137">
        <f t="shared" si="5"/>
        <v>2.8036116409862349E-4</v>
      </c>
      <c r="E192" s="158"/>
      <c r="F192" s="150">
        <f>VLOOKUP(A192,'OPEB Amounts_Report'!$A$10:$A$319,1,FALSE)</f>
        <v>4215</v>
      </c>
      <c r="G192" s="86"/>
      <c r="H192" s="87"/>
    </row>
    <row r="193" spans="1:8">
      <c r="A193" s="12">
        <v>2328</v>
      </c>
      <c r="B193" s="13" t="s">
        <v>179</v>
      </c>
      <c r="C193" s="136">
        <f t="shared" si="4"/>
        <v>54995</v>
      </c>
      <c r="D193" s="138">
        <f t="shared" si="5"/>
        <v>4.3180503037510288E-4</v>
      </c>
      <c r="E193" s="158"/>
      <c r="F193" s="150">
        <f>VLOOKUP(A193,'OPEB Amounts_Report'!$A$10:$A$319,1,FALSE)</f>
        <v>2328</v>
      </c>
      <c r="G193" s="86"/>
      <c r="H193" s="87"/>
    </row>
    <row r="194" spans="1:8">
      <c r="A194" s="10">
        <v>12151</v>
      </c>
      <c r="B194" s="11" t="s">
        <v>180</v>
      </c>
      <c r="C194" s="135">
        <f t="shared" si="4"/>
        <v>25751</v>
      </c>
      <c r="D194" s="137">
        <f t="shared" si="5"/>
        <v>2.021894960849036E-4</v>
      </c>
      <c r="E194" s="158"/>
      <c r="F194" s="150">
        <f>VLOOKUP(A194,'OPEB Amounts_Report'!$A$10:$A$319,1,FALSE)</f>
        <v>12151</v>
      </c>
      <c r="G194" s="86"/>
      <c r="H194" s="87"/>
    </row>
    <row r="195" spans="1:8">
      <c r="A195" s="12">
        <v>32110</v>
      </c>
      <c r="B195" s="13" t="s">
        <v>181</v>
      </c>
      <c r="C195" s="136">
        <f t="shared" si="4"/>
        <v>260075</v>
      </c>
      <c r="D195" s="138">
        <f t="shared" si="5"/>
        <v>2.0420346081426472E-3</v>
      </c>
      <c r="E195" s="158"/>
      <c r="F195" s="150" t="e">
        <f>VLOOKUP(A195,'OPEB Amounts_Report'!$A$10:$A$319,1,FALSE)</f>
        <v>#N/A</v>
      </c>
      <c r="G195" s="86"/>
      <c r="H195" s="87"/>
    </row>
    <row r="196" spans="1:8">
      <c r="A196" s="10">
        <v>2870</v>
      </c>
      <c r="B196" s="11" t="s">
        <v>183</v>
      </c>
      <c r="C196" s="135">
        <f t="shared" si="4"/>
        <v>41565</v>
      </c>
      <c r="D196" s="137">
        <f t="shared" si="5"/>
        <v>3.2635650672863261E-4</v>
      </c>
      <c r="E196" s="158"/>
      <c r="F196" s="150">
        <f>VLOOKUP(A196,'OPEB Amounts_Report'!$A$10:$A$319,1,FALSE)</f>
        <v>2870</v>
      </c>
      <c r="G196" s="86"/>
      <c r="H196" s="87"/>
    </row>
    <row r="197" spans="1:8">
      <c r="A197" s="12">
        <v>29150</v>
      </c>
      <c r="B197" s="13" t="s">
        <v>184</v>
      </c>
      <c r="C197" s="136">
        <f t="shared" si="4"/>
        <v>8100</v>
      </c>
      <c r="D197" s="138">
        <f t="shared" si="5"/>
        <v>6.3598886190350631E-5</v>
      </c>
      <c r="E197" s="158"/>
      <c r="F197" s="150">
        <f>VLOOKUP(A197,'OPEB Amounts_Report'!$A$10:$A$319,1,FALSE)</f>
        <v>29150</v>
      </c>
      <c r="G197" s="86"/>
      <c r="H197" s="87"/>
    </row>
    <row r="198" spans="1:8">
      <c r="A198" s="10">
        <v>32118</v>
      </c>
      <c r="B198" s="11" t="s">
        <v>186</v>
      </c>
      <c r="C198" s="135">
        <f t="shared" si="4"/>
        <v>164513</v>
      </c>
      <c r="D198" s="137">
        <f t="shared" si="5"/>
        <v>1.2917090819547104E-3</v>
      </c>
      <c r="E198" s="158"/>
      <c r="F198" s="150" t="e">
        <f>VLOOKUP(A198,'OPEB Amounts_Report'!$A$10:$A$319,1,FALSE)</f>
        <v>#N/A</v>
      </c>
      <c r="G198" s="86"/>
      <c r="H198" s="87"/>
    </row>
    <row r="199" spans="1:8">
      <c r="A199" s="12">
        <v>12039</v>
      </c>
      <c r="B199" s="13" t="s">
        <v>187</v>
      </c>
      <c r="C199" s="136">
        <f t="shared" si="4"/>
        <v>102254</v>
      </c>
      <c r="D199" s="138">
        <f t="shared" si="5"/>
        <v>8.0286919858124856E-4</v>
      </c>
      <c r="E199" s="158"/>
      <c r="F199" s="150">
        <f>VLOOKUP(A199,'OPEB Amounts_Report'!$A$10:$A$319,1,FALSE)</f>
        <v>12039</v>
      </c>
      <c r="G199" s="86"/>
      <c r="H199" s="87"/>
    </row>
    <row r="200" spans="1:8">
      <c r="A200" s="183">
        <v>12150</v>
      </c>
      <c r="B200" s="184" t="s">
        <v>188</v>
      </c>
      <c r="C200" s="185">
        <f t="shared" si="4"/>
        <v>18510</v>
      </c>
      <c r="D200" s="186">
        <f t="shared" si="5"/>
        <v>1.4533523251646793E-4</v>
      </c>
      <c r="E200" s="158"/>
      <c r="F200" s="150">
        <f>VLOOKUP(A200,'OPEB Amounts_Report'!$A$10:$A$319,1,FALSE)</f>
        <v>12150</v>
      </c>
      <c r="G200" s="86"/>
      <c r="H200" s="87"/>
    </row>
    <row r="201" spans="1:8">
      <c r="A201" s="10">
        <v>20060</v>
      </c>
      <c r="B201" s="11" t="s">
        <v>189</v>
      </c>
      <c r="C201" s="135">
        <f t="shared" ref="C201:C266" si="6">+VLOOKUP(A201,$D$321:$F$629,3,FALSE)</f>
        <v>76041</v>
      </c>
      <c r="D201" s="137">
        <f t="shared" ref="D201:D264" si="7">+C201/$C$316</f>
        <v>5.9705221046919171E-4</v>
      </c>
      <c r="E201" s="158"/>
      <c r="F201" s="150">
        <f>VLOOKUP(A201,'OPEB Amounts_Report'!$A$10:$A$319,1,FALSE)</f>
        <v>20060</v>
      </c>
      <c r="G201" s="86"/>
      <c r="H201" s="87"/>
    </row>
    <row r="202" spans="1:8">
      <c r="A202" s="12">
        <v>1001</v>
      </c>
      <c r="B202" s="13" t="s">
        <v>190</v>
      </c>
      <c r="C202" s="136">
        <f t="shared" si="6"/>
        <v>290427</v>
      </c>
      <c r="D202" s="138">
        <f t="shared" si="7"/>
        <v>2.2803498419265386E-3</v>
      </c>
      <c r="E202" s="158"/>
      <c r="F202" s="150">
        <f>VLOOKUP(A202,'OPEB Amounts_Report'!$A$10:$A$319,1,FALSE)</f>
        <v>1001</v>
      </c>
      <c r="G202" s="86"/>
      <c r="H202" s="87"/>
    </row>
    <row r="203" spans="1:8">
      <c r="A203" s="10">
        <v>11035</v>
      </c>
      <c r="B203" s="11" t="s">
        <v>191</v>
      </c>
      <c r="C203" s="135">
        <f t="shared" si="6"/>
        <v>515070</v>
      </c>
      <c r="D203" s="137">
        <f t="shared" si="7"/>
        <v>4.0441825074152967E-3</v>
      </c>
      <c r="E203" s="158"/>
      <c r="F203" s="150">
        <f>VLOOKUP(A203,'OPEB Amounts_Report'!$A$10:$A$319,1,FALSE)</f>
        <v>11035</v>
      </c>
      <c r="G203" s="86"/>
      <c r="H203" s="87"/>
    </row>
    <row r="204" spans="1:8">
      <c r="A204" s="12">
        <v>2320</v>
      </c>
      <c r="B204" s="13" t="s">
        <v>192</v>
      </c>
      <c r="C204" s="136">
        <f t="shared" si="6"/>
        <v>60544</v>
      </c>
      <c r="D204" s="138">
        <f t="shared" si="7"/>
        <v>4.7537419327266527E-4</v>
      </c>
      <c r="E204" s="158"/>
      <c r="F204" s="150">
        <f>VLOOKUP(A204,'OPEB Amounts_Report'!$A$10:$A$319,1,FALSE)</f>
        <v>2320</v>
      </c>
      <c r="G204" s="86"/>
      <c r="H204" s="87"/>
    </row>
    <row r="205" spans="1:8">
      <c r="A205" s="10">
        <v>28084</v>
      </c>
      <c r="B205" s="11" t="s">
        <v>193</v>
      </c>
      <c r="C205" s="135">
        <f t="shared" si="6"/>
        <v>50899</v>
      </c>
      <c r="D205" s="137">
        <f t="shared" si="7"/>
        <v>3.9964440842008112E-4</v>
      </c>
      <c r="E205" s="158"/>
      <c r="F205" s="150">
        <f>VLOOKUP(A205,'OPEB Amounts_Report'!$A$10:$A$319,1,FALSE)</f>
        <v>28084</v>
      </c>
      <c r="G205" s="86"/>
      <c r="H205" s="87"/>
    </row>
    <row r="206" spans="1:8">
      <c r="A206" s="12">
        <v>20125</v>
      </c>
      <c r="B206" s="13" t="s">
        <v>194</v>
      </c>
      <c r="C206" s="136">
        <f t="shared" si="6"/>
        <v>77210</v>
      </c>
      <c r="D206" s="138">
        <f t="shared" si="7"/>
        <v>6.0623086453789779E-4</v>
      </c>
      <c r="E206" s="158"/>
      <c r="F206" s="150">
        <f>VLOOKUP(A206,'OPEB Amounts_Report'!$A$10:$A$319,1,FALSE)</f>
        <v>20125</v>
      </c>
      <c r="G206" s="86"/>
      <c r="H206" s="87"/>
    </row>
    <row r="207" spans="1:8">
      <c r="A207" s="10">
        <v>7445</v>
      </c>
      <c r="B207" s="11" t="s">
        <v>401</v>
      </c>
      <c r="C207" s="135">
        <f t="shared" si="6"/>
        <v>30530</v>
      </c>
      <c r="D207" s="137">
        <f t="shared" si="7"/>
        <v>2.3971283893721047E-4</v>
      </c>
      <c r="E207" s="158"/>
      <c r="F207" s="150">
        <f>VLOOKUP(A207,'OPEB Amounts_Report'!$A$10:$A$319,1,FALSE)</f>
        <v>7445</v>
      </c>
      <c r="G207" s="86"/>
      <c r="H207" s="87"/>
    </row>
    <row r="208" spans="1:8">
      <c r="A208" s="12">
        <v>9029</v>
      </c>
      <c r="B208" s="13" t="s">
        <v>196</v>
      </c>
      <c r="C208" s="136">
        <f t="shared" si="6"/>
        <v>150999</v>
      </c>
      <c r="D208" s="138">
        <f t="shared" si="7"/>
        <v>1.1856010143033032E-3</v>
      </c>
      <c r="E208" s="158"/>
      <c r="F208" s="150">
        <f>VLOOKUP(A208,'OPEB Amounts_Report'!$A$10:$A$319,1,FALSE)</f>
        <v>9029</v>
      </c>
      <c r="G208" s="86"/>
      <c r="H208" s="87"/>
    </row>
    <row r="209" spans="1:8">
      <c r="A209" s="10">
        <v>2580</v>
      </c>
      <c r="B209" s="11" t="s">
        <v>197</v>
      </c>
      <c r="C209" s="135">
        <f t="shared" si="6"/>
        <v>18163</v>
      </c>
      <c r="D209" s="137">
        <f t="shared" si="7"/>
        <v>1.4261068763893068E-4</v>
      </c>
      <c r="E209" s="158"/>
      <c r="F209" s="150">
        <f>VLOOKUP(A209,'OPEB Amounts_Report'!$A$10:$A$319,1,FALSE)</f>
        <v>2580</v>
      </c>
      <c r="G209" s="86"/>
      <c r="H209" s="87"/>
    </row>
    <row r="210" spans="1:8">
      <c r="A210" s="12">
        <v>20312</v>
      </c>
      <c r="B210" s="13" t="s">
        <v>198</v>
      </c>
      <c r="C210" s="136">
        <f t="shared" si="6"/>
        <v>14824</v>
      </c>
      <c r="D210" s="138">
        <f t="shared" si="7"/>
        <v>1.1639381344268614E-4</v>
      </c>
      <c r="E210" s="158"/>
      <c r="F210" s="150">
        <f>VLOOKUP(A210,'OPEB Amounts_Report'!$A$10:$A$319,1,FALSE)</f>
        <v>20312</v>
      </c>
      <c r="G210" s="86"/>
      <c r="H210" s="87"/>
    </row>
    <row r="211" spans="1:8">
      <c r="A211" s="10">
        <v>26150</v>
      </c>
      <c r="B211" s="11" t="s">
        <v>199</v>
      </c>
      <c r="C211" s="135">
        <f t="shared" si="6"/>
        <v>109871</v>
      </c>
      <c r="D211" s="137">
        <f t="shared" si="7"/>
        <v>8.6267570674321162E-4</v>
      </c>
      <c r="E211" s="158"/>
      <c r="F211" s="150">
        <f>VLOOKUP(A211,'OPEB Amounts_Report'!$A$10:$A$319,1,FALSE)</f>
        <v>26150</v>
      </c>
      <c r="G211" s="86"/>
      <c r="H211" s="87"/>
    </row>
    <row r="212" spans="1:8">
      <c r="A212" s="12">
        <v>5016</v>
      </c>
      <c r="B212" s="13" t="s">
        <v>200</v>
      </c>
      <c r="C212" s="136">
        <f t="shared" si="6"/>
        <v>15971</v>
      </c>
      <c r="D212" s="138">
        <f t="shared" si="7"/>
        <v>1.2539972979581357E-4</v>
      </c>
      <c r="E212" s="158"/>
      <c r="F212" s="150">
        <f>VLOOKUP(A212,'OPEB Amounts_Report'!$A$10:$A$319,1,FALSE)</f>
        <v>5016</v>
      </c>
      <c r="G212" s="86"/>
      <c r="H212" s="87"/>
    </row>
    <row r="213" spans="1:8">
      <c r="A213" s="10">
        <v>6150</v>
      </c>
      <c r="B213" s="11" t="s">
        <v>201</v>
      </c>
      <c r="C213" s="135">
        <f t="shared" si="6"/>
        <v>12608</v>
      </c>
      <c r="D213" s="137">
        <f t="shared" si="7"/>
        <v>9.8994414455301331E-5</v>
      </c>
      <c r="E213" s="158"/>
      <c r="F213" s="150">
        <f>VLOOKUP(A213,'OPEB Amounts_Report'!$A$10:$A$319,1,FALSE)</f>
        <v>6150</v>
      </c>
      <c r="G213" s="86"/>
      <c r="H213" s="87"/>
    </row>
    <row r="214" spans="1:8">
      <c r="A214" s="12">
        <v>4480</v>
      </c>
      <c r="B214" s="13" t="s">
        <v>202</v>
      </c>
      <c r="C214" s="136">
        <f t="shared" si="6"/>
        <v>21222</v>
      </c>
      <c r="D214" s="138">
        <f t="shared" si="7"/>
        <v>1.6662908181871866E-4</v>
      </c>
      <c r="E214" s="158"/>
      <c r="F214" s="150">
        <f>VLOOKUP(A214,'OPEB Amounts_Report'!$A$10:$A$319,1,FALSE)</f>
        <v>4480</v>
      </c>
      <c r="G214" s="86"/>
      <c r="H214" s="87"/>
    </row>
    <row r="215" spans="1:8">
      <c r="A215" s="10">
        <v>28085</v>
      </c>
      <c r="B215" s="11" t="s">
        <v>203</v>
      </c>
      <c r="C215" s="135">
        <f t="shared" si="6"/>
        <v>39690</v>
      </c>
      <c r="D215" s="137">
        <f t="shared" si="7"/>
        <v>3.116345423327181E-4</v>
      </c>
      <c r="E215" s="158"/>
      <c r="F215" s="150">
        <f>VLOOKUP(A215,'OPEB Amounts_Report'!$A$10:$A$319,1,FALSE)</f>
        <v>28085</v>
      </c>
      <c r="G215" s="86"/>
      <c r="H215" s="87"/>
    </row>
    <row r="216" spans="1:8">
      <c r="A216" s="12">
        <v>3240</v>
      </c>
      <c r="B216" s="13" t="s">
        <v>204</v>
      </c>
      <c r="C216" s="136">
        <f t="shared" si="6"/>
        <v>230573</v>
      </c>
      <c r="D216" s="138">
        <f t="shared" si="7"/>
        <v>1.81039333155157E-3</v>
      </c>
      <c r="E216" s="158"/>
      <c r="F216" s="150">
        <f>VLOOKUP(A216,'OPEB Amounts_Report'!$A$10:$A$319,1,FALSE)</f>
        <v>3240</v>
      </c>
      <c r="G216" s="86"/>
      <c r="H216" s="87"/>
    </row>
    <row r="217" spans="1:8">
      <c r="A217" s="10">
        <v>12326</v>
      </c>
      <c r="B217" s="11" t="s">
        <v>205</v>
      </c>
      <c r="C217" s="135">
        <f t="shared" si="6"/>
        <v>20726</v>
      </c>
      <c r="D217" s="137">
        <f t="shared" si="7"/>
        <v>1.6273463150385275E-4</v>
      </c>
      <c r="E217" s="158"/>
      <c r="F217" s="150">
        <f>VLOOKUP(A217,'OPEB Amounts_Report'!$A$10:$A$319,1,FALSE)</f>
        <v>12326</v>
      </c>
      <c r="G217" s="86"/>
      <c r="H217" s="87"/>
    </row>
    <row r="218" spans="1:8">
      <c r="A218" s="12">
        <v>2445</v>
      </c>
      <c r="B218" s="13" t="s">
        <v>427</v>
      </c>
      <c r="C218" s="136">
        <f t="shared" si="6"/>
        <v>19287</v>
      </c>
      <c r="D218" s="138">
        <f t="shared" si="7"/>
        <v>1.5143601456213491E-4</v>
      </c>
      <c r="E218" s="158"/>
      <c r="F218" s="150">
        <f>VLOOKUP(A218,'OPEB Amounts_Report'!$A$10:$A$319,1,FALSE)</f>
        <v>2445</v>
      </c>
      <c r="G218" s="86"/>
      <c r="H218" s="87"/>
    </row>
    <row r="219" spans="1:8">
      <c r="A219" s="10">
        <v>29123</v>
      </c>
      <c r="B219" s="11" t="s">
        <v>206</v>
      </c>
      <c r="C219" s="135">
        <f t="shared" si="6"/>
        <v>2904090</v>
      </c>
      <c r="D219" s="137">
        <f t="shared" si="7"/>
        <v>2.2802085110683379E-2</v>
      </c>
      <c r="E219" s="158"/>
      <c r="F219" s="150">
        <f>VLOOKUP(A219,'OPEB Amounts_Report'!$A$10:$A$319,1,FALSE)</f>
        <v>29123</v>
      </c>
      <c r="G219" s="86"/>
      <c r="H219" s="87"/>
    </row>
    <row r="220" spans="1:8">
      <c r="A220" s="12">
        <v>2318</v>
      </c>
      <c r="B220" s="13" t="s">
        <v>207</v>
      </c>
      <c r="C220" s="136">
        <f t="shared" si="6"/>
        <v>61439</v>
      </c>
      <c r="D220" s="138">
        <f t="shared" si="7"/>
        <v>4.8240147761098183E-4</v>
      </c>
      <c r="E220" s="158"/>
      <c r="F220" s="150">
        <f>VLOOKUP(A220,'OPEB Amounts_Report'!$A$10:$A$319,1,FALSE)</f>
        <v>2318</v>
      </c>
      <c r="G220" s="86"/>
      <c r="H220" s="87"/>
    </row>
    <row r="221" spans="1:8">
      <c r="A221" s="10">
        <v>3250</v>
      </c>
      <c r="B221" s="11" t="s">
        <v>208</v>
      </c>
      <c r="C221" s="135">
        <f t="shared" si="6"/>
        <v>80713</v>
      </c>
      <c r="D221" s="137">
        <f t="shared" si="7"/>
        <v>6.3373541988663833E-4</v>
      </c>
      <c r="E221" s="158"/>
      <c r="F221" s="150">
        <f>VLOOKUP(A221,'OPEB Amounts_Report'!$A$10:$A$319,1,FALSE)</f>
        <v>3250</v>
      </c>
      <c r="G221" s="86"/>
      <c r="H221" s="87"/>
    </row>
    <row r="222" spans="1:8">
      <c r="A222" s="12">
        <v>2313</v>
      </c>
      <c r="B222" s="13" t="s">
        <v>209</v>
      </c>
      <c r="C222" s="136">
        <f t="shared" si="6"/>
        <v>11637</v>
      </c>
      <c r="D222" s="138">
        <f t="shared" si="7"/>
        <v>9.1370399826803746E-5</v>
      </c>
      <c r="E222" s="158"/>
      <c r="F222" s="150">
        <f>VLOOKUP(A222,'OPEB Amounts_Report'!$A$10:$A$319,1,FALSE)</f>
        <v>2313</v>
      </c>
      <c r="G222" s="86"/>
      <c r="H222" s="87"/>
    </row>
    <row r="223" spans="1:8">
      <c r="A223" s="10">
        <v>4011</v>
      </c>
      <c r="B223" s="11" t="s">
        <v>210</v>
      </c>
      <c r="C223" s="135">
        <f t="shared" si="6"/>
        <v>1659735</v>
      </c>
      <c r="D223" s="137">
        <f t="shared" si="7"/>
        <v>1.3031765107548348E-2</v>
      </c>
      <c r="E223" s="158"/>
      <c r="F223" s="150">
        <f>VLOOKUP(A223,'OPEB Amounts_Report'!$A$10:$A$319,1,FALSE)</f>
        <v>4011</v>
      </c>
      <c r="G223" s="86"/>
      <c r="H223" s="87"/>
    </row>
    <row r="224" spans="1:8">
      <c r="A224" s="12">
        <v>31092</v>
      </c>
      <c r="B224" s="13" t="s">
        <v>211</v>
      </c>
      <c r="C224" s="136">
        <f t="shared" si="6"/>
        <v>25769</v>
      </c>
      <c r="D224" s="138">
        <f t="shared" si="7"/>
        <v>2.0233082694310437E-4</v>
      </c>
      <c r="E224" s="158"/>
      <c r="F224" s="150">
        <f>VLOOKUP(A224,'OPEB Amounts_Report'!$A$10:$A$319,1,FALSE)</f>
        <v>31092</v>
      </c>
      <c r="G224" s="86"/>
      <c r="H224" s="87"/>
    </row>
    <row r="225" spans="1:8">
      <c r="A225" s="10">
        <v>26081</v>
      </c>
      <c r="B225" s="11" t="s">
        <v>212</v>
      </c>
      <c r="C225" s="135">
        <f t="shared" si="6"/>
        <v>304499</v>
      </c>
      <c r="D225" s="137">
        <f t="shared" si="7"/>
        <v>2.3908391661821701E-3</v>
      </c>
      <c r="E225" s="158"/>
      <c r="F225" s="150">
        <f>VLOOKUP(A225,'OPEB Amounts_Report'!$A$10:$A$319,1,FALSE)</f>
        <v>26081</v>
      </c>
      <c r="G225" s="86"/>
      <c r="H225" s="87"/>
    </row>
    <row r="226" spans="1:8">
      <c r="A226" s="12">
        <v>29305</v>
      </c>
      <c r="B226" s="13" t="s">
        <v>213</v>
      </c>
      <c r="C226" s="136">
        <f t="shared" si="6"/>
        <v>20223</v>
      </c>
      <c r="D226" s="138">
        <f t="shared" si="7"/>
        <v>1.587852191885754E-4</v>
      </c>
      <c r="E226" s="158"/>
      <c r="F226" s="150">
        <f>VLOOKUP(A226,'OPEB Amounts_Report'!$A$10:$A$319,1,FALSE)</f>
        <v>29305</v>
      </c>
      <c r="G226" s="86"/>
      <c r="H226" s="87"/>
    </row>
    <row r="227" spans="1:8">
      <c r="A227" s="10">
        <v>10032</v>
      </c>
      <c r="B227" s="11" t="s">
        <v>214</v>
      </c>
      <c r="C227" s="135">
        <f t="shared" si="6"/>
        <v>37655</v>
      </c>
      <c r="D227" s="137">
        <f t="shared" si="7"/>
        <v>2.9565630364168557E-4</v>
      </c>
      <c r="E227" s="158"/>
      <c r="F227" s="150">
        <f>VLOOKUP(A227,'OPEB Amounts_Report'!$A$10:$A$319,1,FALSE)</f>
        <v>10032</v>
      </c>
      <c r="G227" s="86"/>
      <c r="H227" s="87"/>
    </row>
    <row r="228" spans="1:8">
      <c r="A228" s="12">
        <v>32107</v>
      </c>
      <c r="B228" s="13" t="s">
        <v>215</v>
      </c>
      <c r="C228" s="136">
        <f t="shared" si="6"/>
        <v>47660</v>
      </c>
      <c r="D228" s="138">
        <f t="shared" si="7"/>
        <v>3.7421270565828535E-4</v>
      </c>
      <c r="E228" s="158"/>
      <c r="F228" s="150">
        <f>VLOOKUP(A228,'OPEB Amounts_Report'!$A$10:$A$319,1,FALSE)</f>
        <v>32107</v>
      </c>
      <c r="G228" s="86"/>
      <c r="H228" s="87"/>
    </row>
    <row r="229" spans="1:8">
      <c r="A229" s="10">
        <v>3260</v>
      </c>
      <c r="B229" s="11" t="s">
        <v>216</v>
      </c>
      <c r="C229" s="135">
        <f t="shared" si="6"/>
        <v>667632</v>
      </c>
      <c r="D229" s="137">
        <f t="shared" si="7"/>
        <v>5.2420557512390343E-3</v>
      </c>
      <c r="E229" s="158"/>
      <c r="F229" s="150">
        <f>VLOOKUP(A229,'OPEB Amounts_Report'!$A$10:$A$319,1,FALSE)</f>
        <v>3260</v>
      </c>
      <c r="G229" s="86"/>
      <c r="H229" s="87"/>
    </row>
    <row r="230" spans="1:8">
      <c r="A230" s="12">
        <v>4390</v>
      </c>
      <c r="B230" s="13" t="s">
        <v>217</v>
      </c>
      <c r="C230" s="136">
        <f t="shared" si="6"/>
        <v>7245</v>
      </c>
      <c r="D230" s="138">
        <f t="shared" si="7"/>
        <v>5.6885670425813621E-5</v>
      </c>
      <c r="E230" s="158"/>
      <c r="F230" s="150">
        <f>VLOOKUP(A230,'OPEB Amounts_Report'!$A$10:$A$319,1,FALSE)</f>
        <v>4390</v>
      </c>
      <c r="G230" s="86"/>
      <c r="H230" s="87"/>
    </row>
    <row r="231" spans="1:8">
      <c r="A231" s="10">
        <v>3270</v>
      </c>
      <c r="B231" s="11" t="s">
        <v>218</v>
      </c>
      <c r="C231" s="135">
        <f t="shared" si="6"/>
        <v>101533</v>
      </c>
      <c r="D231" s="137">
        <f t="shared" si="7"/>
        <v>7.9720811253887296E-4</v>
      </c>
      <c r="E231" s="158"/>
      <c r="F231" s="150">
        <f>VLOOKUP(A231,'OPEB Amounts_Report'!$A$10:$A$319,1,FALSE)</f>
        <v>3270</v>
      </c>
      <c r="G231" s="86"/>
      <c r="H231" s="87"/>
    </row>
    <row r="232" spans="1:8">
      <c r="A232" s="12">
        <v>29303</v>
      </c>
      <c r="B232" s="13" t="s">
        <v>219</v>
      </c>
      <c r="C232" s="136">
        <f t="shared" si="6"/>
        <v>36283</v>
      </c>
      <c r="D232" s="138">
        <f t="shared" si="7"/>
        <v>2.8488375156104841E-4</v>
      </c>
      <c r="E232" s="158"/>
      <c r="F232" s="150">
        <f>VLOOKUP(A232,'OPEB Amounts_Report'!$A$10:$A$319,1,FALSE)</f>
        <v>29303</v>
      </c>
      <c r="G232" s="86"/>
      <c r="H232" s="87"/>
    </row>
    <row r="233" spans="1:8">
      <c r="A233" s="10">
        <v>3280</v>
      </c>
      <c r="B233" s="11" t="s">
        <v>412</v>
      </c>
      <c r="C233" s="135">
        <f t="shared" si="6"/>
        <v>511346</v>
      </c>
      <c r="D233" s="137">
        <f t="shared" si="7"/>
        <v>4.0149427231964243E-3</v>
      </c>
      <c r="E233" s="158"/>
      <c r="F233" s="150">
        <f>VLOOKUP(A233,'OPEB Amounts_Report'!$A$10:$A$319,1,FALSE)</f>
        <v>3280</v>
      </c>
      <c r="G233" s="86"/>
      <c r="H233" s="87"/>
    </row>
    <row r="234" spans="1:8">
      <c r="A234" s="12">
        <v>4260</v>
      </c>
      <c r="B234" s="13" t="s">
        <v>221</v>
      </c>
      <c r="C234" s="136">
        <f t="shared" si="6"/>
        <v>39689</v>
      </c>
      <c r="D234" s="138">
        <f t="shared" si="7"/>
        <v>3.1162669061837359E-4</v>
      </c>
      <c r="E234" s="158"/>
      <c r="F234" s="150">
        <f>VLOOKUP(A234,'OPEB Amounts_Report'!$A$10:$A$319,1,FALSE)</f>
        <v>4260</v>
      </c>
      <c r="G234" s="86"/>
      <c r="H234" s="87"/>
    </row>
    <row r="235" spans="1:8">
      <c r="A235" s="10">
        <v>1003</v>
      </c>
      <c r="B235" s="11" t="s">
        <v>222</v>
      </c>
      <c r="C235" s="135">
        <f t="shared" si="6"/>
        <v>568222</v>
      </c>
      <c r="D235" s="137">
        <f t="shared" si="7"/>
        <v>4.4615168282535088E-3</v>
      </c>
      <c r="E235" s="158"/>
      <c r="F235" s="150">
        <f>VLOOKUP(A235,'OPEB Amounts_Report'!$A$10:$A$319,1,FALSE)</f>
        <v>1003</v>
      </c>
      <c r="G235" s="86"/>
      <c r="H235" s="87"/>
    </row>
    <row r="236" spans="1:8">
      <c r="A236" s="12">
        <v>3290</v>
      </c>
      <c r="B236" s="13" t="s">
        <v>223</v>
      </c>
      <c r="C236" s="136">
        <f t="shared" si="6"/>
        <v>1157478</v>
      </c>
      <c r="D236" s="138">
        <f t="shared" si="7"/>
        <v>9.0881866160289725E-3</v>
      </c>
      <c r="E236" s="158"/>
      <c r="F236" s="150">
        <f>VLOOKUP(A236,'OPEB Amounts_Report'!$A$10:$A$319,1,FALSE)</f>
        <v>3290</v>
      </c>
      <c r="G236" s="86"/>
      <c r="H236" s="87"/>
    </row>
    <row r="237" spans="1:8">
      <c r="A237" s="10">
        <v>1002</v>
      </c>
      <c r="B237" s="11" t="s">
        <v>224</v>
      </c>
      <c r="C237" s="135">
        <f t="shared" si="6"/>
        <v>2056822</v>
      </c>
      <c r="D237" s="137">
        <f t="shared" si="7"/>
        <v>1.6149578801457946E-2</v>
      </c>
      <c r="E237" s="158"/>
      <c r="F237" s="150">
        <f>VLOOKUP(A237,'OPEB Amounts_Report'!$A$10:$A$319,1,FALSE)</f>
        <v>1002</v>
      </c>
      <c r="G237" s="86"/>
      <c r="H237" s="87"/>
    </row>
    <row r="238" spans="1:8">
      <c r="A238" s="12">
        <v>4270</v>
      </c>
      <c r="B238" s="13" t="s">
        <v>413</v>
      </c>
      <c r="C238" s="136">
        <f t="shared" si="6"/>
        <v>43128</v>
      </c>
      <c r="D238" s="138">
        <f t="shared" si="7"/>
        <v>3.3862873624906692E-4</v>
      </c>
      <c r="E238" s="158"/>
      <c r="F238" s="150">
        <f>VLOOKUP(A238,'OPEB Amounts_Report'!$A$10:$A$319,1,FALSE)</f>
        <v>4270</v>
      </c>
      <c r="G238" s="86"/>
      <c r="H238" s="87"/>
    </row>
    <row r="239" spans="1:8">
      <c r="A239" s="10">
        <v>24072</v>
      </c>
      <c r="B239" s="11" t="s">
        <v>225</v>
      </c>
      <c r="C239" s="135">
        <f t="shared" si="6"/>
        <v>154371</v>
      </c>
      <c r="D239" s="137">
        <f t="shared" si="7"/>
        <v>1.2120769950729159E-3</v>
      </c>
      <c r="E239" s="158"/>
      <c r="F239" s="150">
        <f>VLOOKUP(A239,'OPEB Amounts_Report'!$A$10:$A$319,1,FALSE)</f>
        <v>24072</v>
      </c>
      <c r="G239" s="86"/>
      <c r="H239" s="87"/>
    </row>
    <row r="240" spans="1:8">
      <c r="A240" s="12">
        <v>14366</v>
      </c>
      <c r="B240" s="13" t="s">
        <v>226</v>
      </c>
      <c r="C240" s="136">
        <f t="shared" si="6"/>
        <v>97418</v>
      </c>
      <c r="D240" s="138">
        <f t="shared" si="7"/>
        <v>7.6489830801130588E-4</v>
      </c>
      <c r="E240" s="158"/>
      <c r="F240" s="150">
        <f>VLOOKUP(A240,'OPEB Amounts_Report'!$A$10:$A$319,1,FALSE)</f>
        <v>14366</v>
      </c>
      <c r="G240" s="86"/>
      <c r="H240" s="87"/>
    </row>
    <row r="241" spans="1:8">
      <c r="A241" s="10">
        <v>4317</v>
      </c>
      <c r="B241" s="11" t="s">
        <v>227</v>
      </c>
      <c r="C241" s="135">
        <f t="shared" si="6"/>
        <v>27129</v>
      </c>
      <c r="D241" s="137">
        <f t="shared" si="7"/>
        <v>2.1300915845160769E-4</v>
      </c>
      <c r="E241" s="158"/>
      <c r="F241" s="150">
        <f>VLOOKUP(A241,'OPEB Amounts_Report'!$A$10:$A$319,1,FALSE)</f>
        <v>4317</v>
      </c>
      <c r="G241" s="86"/>
      <c r="H241" s="87"/>
    </row>
    <row r="242" spans="1:8">
      <c r="A242" s="12">
        <v>32120</v>
      </c>
      <c r="B242" s="13" t="s">
        <v>228</v>
      </c>
      <c r="C242" s="136">
        <f t="shared" si="6"/>
        <v>53943</v>
      </c>
      <c r="D242" s="138">
        <f t="shared" si="7"/>
        <v>4.2354502688470177E-4</v>
      </c>
      <c r="E242" s="158"/>
      <c r="F242" s="150" t="e">
        <f>VLOOKUP(A242,'OPEB Amounts_Report'!$A$10:$A$319,1,FALSE)</f>
        <v>#N/A</v>
      </c>
      <c r="G242" s="86"/>
      <c r="H242" s="87"/>
    </row>
    <row r="243" spans="1:8">
      <c r="A243" s="10">
        <v>3300</v>
      </c>
      <c r="B243" s="11" t="s">
        <v>414</v>
      </c>
      <c r="C243" s="135">
        <f t="shared" si="6"/>
        <v>78044</v>
      </c>
      <c r="D243" s="137">
        <f t="shared" si="7"/>
        <v>6.127791943012006E-4</v>
      </c>
      <c r="E243" s="158"/>
      <c r="F243" s="150">
        <f>VLOOKUP(A243,'OPEB Amounts_Report'!$A$10:$A$319,1,FALSE)</f>
        <v>3300</v>
      </c>
      <c r="G243" s="86"/>
      <c r="H243" s="87"/>
    </row>
    <row r="244" spans="1:8">
      <c r="A244" s="12">
        <v>8026</v>
      </c>
      <c r="B244" s="13" t="s">
        <v>230</v>
      </c>
      <c r="C244" s="136">
        <f t="shared" si="6"/>
        <v>417745</v>
      </c>
      <c r="D244" s="138">
        <f t="shared" si="7"/>
        <v>3.280014408838028E-3</v>
      </c>
      <c r="E244" s="158"/>
      <c r="F244" s="150">
        <f>VLOOKUP(A244,'OPEB Amounts_Report'!$A$10:$A$319,1,FALSE)</f>
        <v>8026</v>
      </c>
      <c r="G244" s="86"/>
      <c r="H244" s="87"/>
    </row>
    <row r="245" spans="1:8">
      <c r="A245" s="10">
        <v>32119</v>
      </c>
      <c r="B245" s="11" t="s">
        <v>231</v>
      </c>
      <c r="C245" s="135">
        <f t="shared" si="6"/>
        <v>12609</v>
      </c>
      <c r="D245" s="137">
        <f t="shared" si="7"/>
        <v>9.9002266169645825E-5</v>
      </c>
      <c r="E245" s="158"/>
      <c r="F245" s="150" t="e">
        <f>VLOOKUP(A245,'OPEB Amounts_Report'!$A$10:$A$319,1,FALSE)</f>
        <v>#N/A</v>
      </c>
      <c r="G245" s="86"/>
      <c r="H245" s="87"/>
    </row>
    <row r="246" spans="1:8">
      <c r="A246" s="12">
        <v>25076</v>
      </c>
      <c r="B246" s="13" t="s">
        <v>232</v>
      </c>
      <c r="C246" s="136">
        <f t="shared" si="6"/>
        <v>263089</v>
      </c>
      <c r="D246" s="138">
        <f t="shared" si="7"/>
        <v>2.0656996751769333E-3</v>
      </c>
      <c r="E246" s="158"/>
      <c r="F246" s="150">
        <f>VLOOKUP(A246,'OPEB Amounts_Report'!$A$10:$A$319,1,FALSE)</f>
        <v>25076</v>
      </c>
      <c r="G246" s="86"/>
      <c r="H246" s="87"/>
    </row>
    <row r="247" spans="1:8">
      <c r="A247" s="10">
        <v>2440</v>
      </c>
      <c r="B247" s="11" t="s">
        <v>396</v>
      </c>
      <c r="C247" s="135">
        <f t="shared" si="6"/>
        <v>61282</v>
      </c>
      <c r="D247" s="137">
        <f t="shared" si="7"/>
        <v>4.8116875845889722E-4</v>
      </c>
      <c r="E247" s="158"/>
      <c r="F247" s="150">
        <f>VLOOKUP(A247,'OPEB Amounts_Report'!$A$10:$A$319,1,FALSE)</f>
        <v>2440</v>
      </c>
      <c r="G247" s="86"/>
      <c r="H247" s="87"/>
    </row>
    <row r="248" spans="1:8">
      <c r="A248" s="12">
        <v>2309</v>
      </c>
      <c r="B248" s="43" t="s">
        <v>233</v>
      </c>
      <c r="C248" s="156">
        <f t="shared" si="6"/>
        <v>116399</v>
      </c>
      <c r="D248" s="140">
        <f t="shared" si="7"/>
        <v>9.1393169798402755E-4</v>
      </c>
      <c r="E248" s="158"/>
      <c r="F248" s="150">
        <f>VLOOKUP(A248,'OPEB Amounts_Report'!$A$10:$A$319,1,FALSE)</f>
        <v>2309</v>
      </c>
      <c r="G248" s="86"/>
      <c r="H248" s="87"/>
    </row>
    <row r="249" spans="1:8">
      <c r="A249" s="10">
        <v>2396</v>
      </c>
      <c r="B249" s="11" t="s">
        <v>234</v>
      </c>
      <c r="C249" s="135">
        <f t="shared" si="6"/>
        <v>29539</v>
      </c>
      <c r="D249" s="137">
        <f t="shared" si="7"/>
        <v>2.3193179002182313E-4</v>
      </c>
      <c r="E249" s="158"/>
      <c r="F249" s="150">
        <f>VLOOKUP(A249,'OPEB Amounts_Report'!$A$10:$A$319,1,FALSE)</f>
        <v>2396</v>
      </c>
      <c r="G249" s="86"/>
      <c r="H249" s="87"/>
    </row>
    <row r="250" spans="1:8">
      <c r="A250" s="12" t="s">
        <v>464</v>
      </c>
      <c r="B250" s="13" t="s">
        <v>455</v>
      </c>
      <c r="C250" s="136">
        <f t="shared" si="6"/>
        <v>213021</v>
      </c>
      <c r="D250" s="138">
        <f t="shared" si="7"/>
        <v>1.6725800413771212E-3</v>
      </c>
      <c r="E250" s="158" t="s">
        <v>458</v>
      </c>
      <c r="F250" s="150" t="e">
        <f>VLOOKUP(A250,'OPEB Amounts_Report'!$A$10:$A$319,1,FALSE)</f>
        <v>#N/A</v>
      </c>
      <c r="G250" s="86"/>
      <c r="H250" s="87"/>
    </row>
    <row r="251" spans="1:8">
      <c r="A251" s="10">
        <v>3380</v>
      </c>
      <c r="B251" s="11" t="s">
        <v>235</v>
      </c>
      <c r="C251" s="135">
        <f t="shared" si="6"/>
        <v>19882</v>
      </c>
      <c r="D251" s="137">
        <f t="shared" si="7"/>
        <v>1.5610778459710509E-4</v>
      </c>
      <c r="E251" s="158"/>
      <c r="F251" s="150">
        <f>VLOOKUP(A251,'OPEB Amounts_Report'!$A$10:$A$319,1,FALSE)</f>
        <v>3380</v>
      </c>
      <c r="G251" s="86"/>
      <c r="H251" s="87"/>
    </row>
    <row r="252" spans="1:8">
      <c r="A252" s="12">
        <v>2420</v>
      </c>
      <c r="B252" s="13" t="s">
        <v>236</v>
      </c>
      <c r="C252" s="136">
        <f t="shared" si="6"/>
        <v>33831</v>
      </c>
      <c r="D252" s="138">
        <f t="shared" si="7"/>
        <v>2.6563134798836447E-4</v>
      </c>
      <c r="E252" s="158"/>
      <c r="F252" s="150">
        <f>VLOOKUP(A252,'OPEB Amounts_Report'!$A$10:$A$319,1,FALSE)</f>
        <v>2420</v>
      </c>
      <c r="G252" s="86"/>
      <c r="H252" s="87"/>
    </row>
    <row r="253" spans="1:8">
      <c r="A253" s="10">
        <v>2740</v>
      </c>
      <c r="B253" s="11" t="s">
        <v>237</v>
      </c>
      <c r="C253" s="135">
        <f t="shared" si="6"/>
        <v>3503</v>
      </c>
      <c r="D253" s="137">
        <f t="shared" si="7"/>
        <v>2.7504555348740528E-5</v>
      </c>
      <c r="E253" s="158"/>
      <c r="F253" s="150">
        <f>VLOOKUP(A253,'OPEB Amounts_Report'!$A$10:$A$319,1,FALSE)</f>
        <v>2740</v>
      </c>
      <c r="G253" s="86"/>
      <c r="H253" s="87"/>
    </row>
    <row r="254" spans="1:8">
      <c r="A254" s="12">
        <v>2346</v>
      </c>
      <c r="B254" s="13" t="s">
        <v>238</v>
      </c>
      <c r="C254" s="136">
        <f t="shared" si="6"/>
        <v>21915</v>
      </c>
      <c r="D254" s="138">
        <f t="shared" si="7"/>
        <v>1.7207031985944866E-4</v>
      </c>
      <c r="E254" s="158"/>
      <c r="F254" s="150">
        <f>VLOOKUP(A254,'OPEB Amounts_Report'!$A$10:$A$319,1,FALSE)</f>
        <v>2346</v>
      </c>
      <c r="G254" s="86"/>
      <c r="H254" s="87"/>
    </row>
    <row r="255" spans="1:8">
      <c r="A255" s="10">
        <v>21150</v>
      </c>
      <c r="B255" s="11" t="s">
        <v>239</v>
      </c>
      <c r="C255" s="135">
        <f t="shared" si="6"/>
        <v>98389</v>
      </c>
      <c r="D255" s="137">
        <f t="shared" si="7"/>
        <v>7.7252232263980353E-4</v>
      </c>
      <c r="E255" s="158"/>
      <c r="F255" s="150">
        <f>VLOOKUP(A255,'OPEB Amounts_Report'!$A$10:$A$319,1,FALSE)</f>
        <v>21150</v>
      </c>
      <c r="G255" s="86"/>
      <c r="H255" s="87"/>
    </row>
    <row r="256" spans="1:8">
      <c r="A256" s="12">
        <v>32098</v>
      </c>
      <c r="B256" s="13" t="s">
        <v>240</v>
      </c>
      <c r="C256" s="136">
        <f t="shared" si="6"/>
        <v>22314</v>
      </c>
      <c r="D256" s="138">
        <f t="shared" si="7"/>
        <v>1.7520315388289926E-4</v>
      </c>
      <c r="E256" s="158"/>
      <c r="F256" s="150" t="e">
        <f>VLOOKUP(A256,'OPEB Amounts_Report'!$A$10:$A$319,1,FALSE)</f>
        <v>#N/A</v>
      </c>
      <c r="G256" s="86"/>
      <c r="H256" s="87"/>
    </row>
    <row r="257" spans="1:8">
      <c r="A257" s="10">
        <v>4520</v>
      </c>
      <c r="B257" s="11" t="s">
        <v>241</v>
      </c>
      <c r="C257" s="135">
        <f t="shared" si="6"/>
        <v>3494</v>
      </c>
      <c r="D257" s="137">
        <f t="shared" si="7"/>
        <v>2.7433889919640139E-5</v>
      </c>
      <c r="E257" s="158"/>
      <c r="F257" s="150">
        <f>VLOOKUP(A257,'OPEB Amounts_Report'!$A$10:$A$319,1,FALSE)</f>
        <v>4520</v>
      </c>
      <c r="G257" s="86"/>
      <c r="H257" s="87"/>
    </row>
    <row r="258" spans="1:8">
      <c r="A258" s="12">
        <v>9030</v>
      </c>
      <c r="B258" s="13" t="s">
        <v>242</v>
      </c>
      <c r="C258" s="136">
        <f t="shared" si="6"/>
        <v>33753</v>
      </c>
      <c r="D258" s="138">
        <f t="shared" si="7"/>
        <v>2.6501891426949442E-4</v>
      </c>
      <c r="E258" s="158"/>
      <c r="F258" s="150">
        <f>VLOOKUP(A258,'OPEB Amounts_Report'!$A$10:$A$319,1,FALSE)</f>
        <v>9030</v>
      </c>
      <c r="G258" s="86"/>
      <c r="H258" s="87"/>
    </row>
    <row r="259" spans="1:8">
      <c r="A259" s="183">
        <v>20265</v>
      </c>
      <c r="B259" s="184" t="s">
        <v>243</v>
      </c>
      <c r="C259" s="185">
        <f t="shared" si="6"/>
        <v>48612</v>
      </c>
      <c r="D259" s="186">
        <f t="shared" si="7"/>
        <v>3.8168753771423763E-4</v>
      </c>
      <c r="E259" s="158"/>
      <c r="F259" s="150">
        <f>VLOOKUP(A259,'OPEB Amounts_Report'!$A$10:$A$319,1,FALSE)</f>
        <v>20265</v>
      </c>
      <c r="G259" s="86"/>
      <c r="H259" s="87"/>
    </row>
    <row r="260" spans="1:8">
      <c r="A260" s="10">
        <v>20307</v>
      </c>
      <c r="B260" s="11" t="s">
        <v>244</v>
      </c>
      <c r="C260" s="135">
        <f t="shared" si="6"/>
        <v>40863</v>
      </c>
      <c r="D260" s="137">
        <f t="shared" si="7"/>
        <v>3.2084460325880221E-4</v>
      </c>
      <c r="E260" s="158"/>
      <c r="F260" s="150">
        <f>VLOOKUP(A260,'OPEB Amounts_Report'!$A$10:$A$319,1,FALSE)</f>
        <v>20307</v>
      </c>
      <c r="G260" s="86"/>
      <c r="H260" s="87"/>
    </row>
    <row r="261" spans="1:8">
      <c r="A261" s="12">
        <v>3320</v>
      </c>
      <c r="B261" s="13" t="s">
        <v>245</v>
      </c>
      <c r="C261" s="136">
        <f t="shared" si="6"/>
        <v>253119</v>
      </c>
      <c r="D261" s="138">
        <f t="shared" si="7"/>
        <v>1.9874180831623905E-3</v>
      </c>
      <c r="E261" s="158"/>
      <c r="F261" s="150">
        <f>VLOOKUP(A261,'OPEB Amounts_Report'!$A$10:$A$319,1,FALSE)</f>
        <v>3320</v>
      </c>
      <c r="G261" s="86"/>
      <c r="H261" s="87"/>
    </row>
    <row r="262" spans="1:8">
      <c r="A262" s="10">
        <v>20415</v>
      </c>
      <c r="B262" s="11" t="s">
        <v>246</v>
      </c>
      <c r="C262" s="135">
        <f t="shared" si="6"/>
        <v>30023</v>
      </c>
      <c r="D262" s="137">
        <f t="shared" si="7"/>
        <v>2.357320197645552E-4</v>
      </c>
      <c r="E262" s="158"/>
      <c r="F262" s="150">
        <f>VLOOKUP(A262,'OPEB Amounts_Report'!$A$10:$A$319,1,FALSE)</f>
        <v>20415</v>
      </c>
      <c r="G262" s="86"/>
      <c r="H262" s="87"/>
    </row>
    <row r="263" spans="1:8">
      <c r="A263" s="12">
        <v>20435</v>
      </c>
      <c r="B263" s="13" t="s">
        <v>407</v>
      </c>
      <c r="C263" s="136">
        <f t="shared" si="6"/>
        <v>33726</v>
      </c>
      <c r="D263" s="138">
        <f t="shared" si="7"/>
        <v>2.6480691798219327E-4</v>
      </c>
      <c r="E263" s="158"/>
      <c r="F263" s="150">
        <f>VLOOKUP(A263,'OPEB Amounts_Report'!$A$10:$A$319,1,FALSE)</f>
        <v>20435</v>
      </c>
      <c r="G263" s="86"/>
      <c r="H263" s="87"/>
    </row>
    <row r="264" spans="1:8">
      <c r="A264" s="10">
        <v>20062</v>
      </c>
      <c r="B264" s="11" t="s">
        <v>247</v>
      </c>
      <c r="C264" s="135">
        <f t="shared" si="6"/>
        <v>334389</v>
      </c>
      <c r="D264" s="137">
        <f t="shared" si="7"/>
        <v>2.6255269079389085E-3</v>
      </c>
      <c r="E264" s="158"/>
      <c r="F264" s="150">
        <f>VLOOKUP(A264,'OPEB Amounts_Report'!$A$10:$A$319,1,FALSE)</f>
        <v>20062</v>
      </c>
      <c r="G264" s="86"/>
      <c r="H264" s="87"/>
    </row>
    <row r="265" spans="1:8">
      <c r="A265" s="12">
        <v>3410</v>
      </c>
      <c r="B265" s="13" t="s">
        <v>457</v>
      </c>
      <c r="C265" s="136">
        <f t="shared" si="6"/>
        <v>4420</v>
      </c>
      <c r="D265" s="138">
        <f t="shared" ref="D265:D314" si="8">+C265/$C$316</f>
        <v>3.470457740263578E-5</v>
      </c>
      <c r="E265" s="158"/>
      <c r="F265" s="150">
        <f>VLOOKUP(A265,'OPEB Amounts_Report'!$A$10:$A$319,1,FALSE)</f>
        <v>3410</v>
      </c>
      <c r="G265" s="86"/>
      <c r="H265" s="87"/>
    </row>
    <row r="266" spans="1:8">
      <c r="A266" s="10">
        <v>6020</v>
      </c>
      <c r="B266" s="11" t="s">
        <v>248</v>
      </c>
      <c r="C266" s="135">
        <f t="shared" si="6"/>
        <v>70791</v>
      </c>
      <c r="D266" s="137">
        <f t="shared" si="8"/>
        <v>5.5583071016063103E-4</v>
      </c>
      <c r="E266" s="158"/>
      <c r="F266" s="150">
        <f>VLOOKUP(A266,'OPEB Amounts_Report'!$A$10:$A$319,1,FALSE)</f>
        <v>6020</v>
      </c>
      <c r="G266" s="86"/>
      <c r="H266" s="87"/>
    </row>
    <row r="267" spans="1:8">
      <c r="A267" s="12">
        <v>2394</v>
      </c>
      <c r="B267" s="13" t="s">
        <v>249</v>
      </c>
      <c r="C267" s="136">
        <f t="shared" ref="C267:C311" si="9">+VLOOKUP(A267,$D$321:$F$629,3,FALSE)</f>
        <v>44179</v>
      </c>
      <c r="D267" s="138">
        <f t="shared" si="8"/>
        <v>3.4688088802512353E-4</v>
      </c>
      <c r="E267" s="158"/>
      <c r="F267" s="150">
        <f>VLOOKUP(A267,'OPEB Amounts_Report'!$A$10:$A$319,1,FALSE)</f>
        <v>2394</v>
      </c>
      <c r="G267" s="86"/>
      <c r="H267" s="87"/>
    </row>
    <row r="268" spans="1:8">
      <c r="A268" s="10">
        <v>5015</v>
      </c>
      <c r="B268" s="11" t="s">
        <v>250</v>
      </c>
      <c r="C268" s="135">
        <f t="shared" si="9"/>
        <v>97457</v>
      </c>
      <c r="D268" s="137">
        <f t="shared" si="8"/>
        <v>7.6520452487074096E-4</v>
      </c>
      <c r="E268" s="158"/>
      <c r="F268" s="150">
        <f>VLOOKUP(A268,'OPEB Amounts_Report'!$A$10:$A$319,1,FALSE)</f>
        <v>5015</v>
      </c>
      <c r="G268" s="86"/>
      <c r="H268" s="87"/>
    </row>
    <row r="269" spans="1:8">
      <c r="A269" s="12">
        <v>29408</v>
      </c>
      <c r="B269" s="43" t="s">
        <v>251</v>
      </c>
      <c r="C269" s="156">
        <f t="shared" si="9"/>
        <v>72559</v>
      </c>
      <c r="D269" s="140">
        <f t="shared" si="8"/>
        <v>5.6971254112168543E-4</v>
      </c>
      <c r="E269" s="158"/>
      <c r="F269" s="150">
        <f>VLOOKUP(A269,'OPEB Amounts_Report'!$A$10:$A$319,1,FALSE)</f>
        <v>29408</v>
      </c>
      <c r="G269" s="86"/>
      <c r="H269" s="87"/>
    </row>
    <row r="270" spans="1:8">
      <c r="A270" s="10">
        <v>2413</v>
      </c>
      <c r="B270" s="11" t="s">
        <v>252</v>
      </c>
      <c r="C270" s="135">
        <f t="shared" si="9"/>
        <v>12874</v>
      </c>
      <c r="D270" s="137">
        <f t="shared" si="8"/>
        <v>1.0108297047093506E-4</v>
      </c>
      <c r="E270" s="158"/>
      <c r="F270" s="150">
        <f>VLOOKUP(A270,'OPEB Amounts_Report'!$A$10:$A$319,1,FALSE)</f>
        <v>2413</v>
      </c>
      <c r="G270" s="86"/>
      <c r="H270" s="87"/>
    </row>
    <row r="271" spans="1:8">
      <c r="A271" s="12">
        <v>1398</v>
      </c>
      <c r="B271" s="13" t="s">
        <v>253</v>
      </c>
      <c r="C271" s="136">
        <f t="shared" si="9"/>
        <v>43820</v>
      </c>
      <c r="D271" s="138">
        <f t="shared" si="8"/>
        <v>3.4406212257545246E-4</v>
      </c>
      <c r="E271" s="158"/>
      <c r="F271" s="150">
        <f>VLOOKUP(A271,'OPEB Amounts_Report'!$A$10:$A$319,1,FALSE)</f>
        <v>1398</v>
      </c>
      <c r="G271" s="86"/>
      <c r="H271" s="87"/>
    </row>
    <row r="272" spans="1:8">
      <c r="A272" s="10">
        <v>2366</v>
      </c>
      <c r="B272" s="11" t="s">
        <v>254</v>
      </c>
      <c r="C272" s="135">
        <f t="shared" si="9"/>
        <v>27096</v>
      </c>
      <c r="D272" s="137">
        <f t="shared" si="8"/>
        <v>2.127500518782396E-4</v>
      </c>
      <c r="E272" s="158"/>
      <c r="F272" s="150">
        <f>VLOOKUP(A272,'OPEB Amounts_Report'!$A$10:$A$319,1,FALSE)</f>
        <v>2366</v>
      </c>
      <c r="G272" s="86"/>
      <c r="H272" s="87"/>
    </row>
    <row r="273" spans="1:8">
      <c r="A273" s="12">
        <v>7421</v>
      </c>
      <c r="B273" s="13" t="s">
        <v>255</v>
      </c>
      <c r="C273" s="136">
        <f t="shared" si="9"/>
        <v>24525</v>
      </c>
      <c r="D273" s="138">
        <f t="shared" si="8"/>
        <v>1.9256329429856166E-4</v>
      </c>
      <c r="E273" s="158"/>
      <c r="F273" s="150">
        <f>VLOOKUP(A273,'OPEB Amounts_Report'!$A$10:$A$319,1,FALSE)</f>
        <v>7421</v>
      </c>
      <c r="G273" s="86"/>
      <c r="H273" s="87"/>
    </row>
    <row r="274" spans="1:8">
      <c r="A274" s="10">
        <v>1425</v>
      </c>
      <c r="B274" s="11" t="s">
        <v>426</v>
      </c>
      <c r="C274" s="135">
        <f t="shared" si="9"/>
        <v>40929</v>
      </c>
      <c r="D274" s="137">
        <f t="shared" si="8"/>
        <v>3.2136281640553839E-4</v>
      </c>
      <c r="E274" s="158"/>
      <c r="F274" s="150">
        <f>VLOOKUP(A274,'OPEB Amounts_Report'!$A$10:$A$319,1,FALSE)</f>
        <v>1425</v>
      </c>
      <c r="G274" s="86"/>
      <c r="H274" s="87"/>
    </row>
    <row r="275" spans="1:8">
      <c r="A275" s="12">
        <v>2370</v>
      </c>
      <c r="B275" s="43" t="s">
        <v>256</v>
      </c>
      <c r="C275" s="156">
        <f t="shared" si="9"/>
        <v>38137</v>
      </c>
      <c r="D275" s="140">
        <f t="shared" si="8"/>
        <v>2.9944082995572865E-4</v>
      </c>
      <c r="E275" s="158"/>
      <c r="F275" s="150">
        <f>VLOOKUP(A275,'OPEB Amounts_Report'!$A$10:$A$319,1,FALSE)</f>
        <v>2370</v>
      </c>
      <c r="G275" s="86"/>
      <c r="H275" s="87"/>
    </row>
    <row r="276" spans="1:8">
      <c r="A276" s="10">
        <v>32094</v>
      </c>
      <c r="B276" s="11" t="s">
        <v>257</v>
      </c>
      <c r="C276" s="135">
        <f t="shared" si="9"/>
        <v>50389</v>
      </c>
      <c r="D276" s="137">
        <f t="shared" si="8"/>
        <v>3.9564003410439238E-4</v>
      </c>
      <c r="E276" s="158"/>
      <c r="F276" s="150" t="e">
        <f>VLOOKUP(A276,'OPEB Amounts_Report'!$A$10:$A$319,1,FALSE)</f>
        <v>#N/A</v>
      </c>
      <c r="G276" s="86"/>
      <c r="H276" s="87"/>
    </row>
    <row r="277" spans="1:8">
      <c r="A277" s="12">
        <v>2790</v>
      </c>
      <c r="B277" s="13" t="s">
        <v>258</v>
      </c>
      <c r="C277" s="136">
        <f t="shared" si="9"/>
        <v>4858</v>
      </c>
      <c r="D277" s="138">
        <f t="shared" si="8"/>
        <v>3.8143628285521405E-5</v>
      </c>
      <c r="E277" s="158"/>
      <c r="F277" s="150">
        <f>VLOOKUP(A277,'OPEB Amounts_Report'!$A$10:$A$319,1,FALSE)</f>
        <v>2790</v>
      </c>
      <c r="G277" s="86"/>
      <c r="H277" s="87"/>
    </row>
    <row r="278" spans="1:8">
      <c r="A278" s="10">
        <v>3330</v>
      </c>
      <c r="B278" s="11" t="s">
        <v>259</v>
      </c>
      <c r="C278" s="135">
        <f t="shared" si="9"/>
        <v>108747</v>
      </c>
      <c r="D278" s="137">
        <f t="shared" si="8"/>
        <v>8.5385037982000744E-4</v>
      </c>
      <c r="E278" s="158"/>
      <c r="F278" s="150">
        <f>VLOOKUP(A278,'OPEB Amounts_Report'!$A$10:$A$319,1,FALSE)</f>
        <v>3330</v>
      </c>
      <c r="G278" s="86"/>
      <c r="H278" s="87"/>
    </row>
    <row r="279" spans="1:8">
      <c r="A279" s="12">
        <v>2080</v>
      </c>
      <c r="B279" s="13" t="s">
        <v>260</v>
      </c>
      <c r="C279" s="136">
        <f t="shared" si="9"/>
        <v>131594</v>
      </c>
      <c r="D279" s="138">
        <f t="shared" si="8"/>
        <v>1.0332384974485187E-3</v>
      </c>
      <c r="E279" s="158"/>
      <c r="F279" s="150">
        <f>VLOOKUP(A279,'OPEB Amounts_Report'!$A$10:$A$319,1,FALSE)</f>
        <v>2080</v>
      </c>
      <c r="G279" s="86"/>
      <c r="H279" s="87"/>
    </row>
    <row r="280" spans="1:8">
      <c r="A280" s="10">
        <v>4290</v>
      </c>
      <c r="B280" s="11" t="s">
        <v>261</v>
      </c>
      <c r="C280" s="135">
        <f t="shared" si="9"/>
        <v>54028</v>
      </c>
      <c r="D280" s="137">
        <f t="shared" si="8"/>
        <v>4.242124226039832E-4</v>
      </c>
      <c r="E280" s="158"/>
      <c r="F280" s="150">
        <f>VLOOKUP(A280,'OPEB Amounts_Report'!$A$10:$A$319,1,FALSE)</f>
        <v>4290</v>
      </c>
      <c r="G280" s="86"/>
      <c r="H280" s="87"/>
    </row>
    <row r="281" spans="1:8">
      <c r="A281" s="12">
        <v>2270</v>
      </c>
      <c r="B281" s="13" t="s">
        <v>262</v>
      </c>
      <c r="C281" s="136">
        <f t="shared" si="9"/>
        <v>1858</v>
      </c>
      <c r="D281" s="138">
        <f t="shared" si="8"/>
        <v>1.4588485252058208E-5</v>
      </c>
      <c r="E281" s="158"/>
      <c r="F281" s="150">
        <f>VLOOKUP(A281,'OPEB Amounts_Report'!$A$10:$A$319,1,FALSE)</f>
        <v>2270</v>
      </c>
      <c r="G281" s="86"/>
      <c r="H281" s="87"/>
    </row>
    <row r="282" spans="1:8">
      <c r="A282" s="10">
        <v>2300</v>
      </c>
      <c r="B282" s="11" t="s">
        <v>263</v>
      </c>
      <c r="C282" s="135">
        <f t="shared" si="9"/>
        <v>20760</v>
      </c>
      <c r="D282" s="137">
        <f t="shared" si="8"/>
        <v>1.6300158979156532E-4</v>
      </c>
      <c r="E282" s="158"/>
      <c r="F282" s="150">
        <f>VLOOKUP(A282,'OPEB Amounts_Report'!$A$10:$A$319,1,FALSE)</f>
        <v>2300</v>
      </c>
      <c r="G282" s="86"/>
      <c r="H282" s="87"/>
    </row>
    <row r="283" spans="1:8">
      <c r="A283" s="12">
        <v>2720</v>
      </c>
      <c r="B283" s="13" t="s">
        <v>264</v>
      </c>
      <c r="C283" s="136">
        <f t="shared" si="9"/>
        <v>164041</v>
      </c>
      <c r="D283" s="138">
        <f t="shared" si="8"/>
        <v>1.2880030727841121E-3</v>
      </c>
      <c r="E283" s="158"/>
      <c r="F283" s="150">
        <f>VLOOKUP(A283,'OPEB Amounts_Report'!$A$10:$A$319,1,FALSE)</f>
        <v>2720</v>
      </c>
      <c r="G283" s="86"/>
      <c r="H283" s="87"/>
    </row>
    <row r="284" spans="1:8">
      <c r="A284" s="10">
        <v>2750</v>
      </c>
      <c r="B284" s="11" t="s">
        <v>265</v>
      </c>
      <c r="C284" s="135">
        <f t="shared" si="9"/>
        <v>9990</v>
      </c>
      <c r="D284" s="137">
        <f t="shared" si="8"/>
        <v>7.8438626301432452E-5</v>
      </c>
      <c r="E284" s="158"/>
      <c r="F284" s="150">
        <f>VLOOKUP(A284,'OPEB Amounts_Report'!$A$10:$A$319,1,FALSE)</f>
        <v>2750</v>
      </c>
      <c r="G284" s="86"/>
      <c r="H284" s="87"/>
    </row>
    <row r="285" spans="1:8">
      <c r="A285" s="12">
        <v>2770</v>
      </c>
      <c r="B285" s="13" t="s">
        <v>266</v>
      </c>
      <c r="C285" s="136">
        <f t="shared" si="9"/>
        <v>143858</v>
      </c>
      <c r="D285" s="138">
        <f t="shared" si="8"/>
        <v>1.1295319221693162E-3</v>
      </c>
      <c r="E285" s="158"/>
      <c r="F285" s="150">
        <f>VLOOKUP(A285,'OPEB Amounts_Report'!$A$10:$A$319,1,FALSE)</f>
        <v>2770</v>
      </c>
      <c r="G285" s="86"/>
      <c r="H285" s="87"/>
    </row>
    <row r="286" spans="1:8">
      <c r="A286" s="10">
        <v>32106</v>
      </c>
      <c r="B286" s="11" t="s">
        <v>267</v>
      </c>
      <c r="C286" s="135">
        <f t="shared" si="9"/>
        <v>7764</v>
      </c>
      <c r="D286" s="137">
        <f t="shared" si="8"/>
        <v>6.0960710170602757E-5</v>
      </c>
      <c r="E286" s="158"/>
      <c r="F286" s="150">
        <f>VLOOKUP(A286,'OPEB Amounts_Report'!$A$10:$A$319,1,FALSE)</f>
        <v>32106</v>
      </c>
      <c r="G286" s="86"/>
      <c r="H286" s="87"/>
    </row>
    <row r="287" spans="1:8">
      <c r="A287" s="12">
        <v>4180</v>
      </c>
      <c r="B287" s="13" t="s">
        <v>268</v>
      </c>
      <c r="C287" s="136">
        <f t="shared" si="9"/>
        <v>15154</v>
      </c>
      <c r="D287" s="138">
        <f t="shared" si="8"/>
        <v>1.189848791763671E-4</v>
      </c>
      <c r="E287" s="158"/>
      <c r="F287" s="150">
        <f>VLOOKUP(A287,'OPEB Amounts_Report'!$A$10:$A$319,1,FALSE)</f>
        <v>4180</v>
      </c>
      <c r="G287" s="86"/>
      <c r="H287" s="87"/>
    </row>
    <row r="288" spans="1:8">
      <c r="A288" s="10">
        <v>21063</v>
      </c>
      <c r="B288" s="11" t="s">
        <v>269</v>
      </c>
      <c r="C288" s="135">
        <f t="shared" si="9"/>
        <v>251804</v>
      </c>
      <c r="D288" s="137">
        <f t="shared" si="8"/>
        <v>1.977093078799389E-3</v>
      </c>
      <c r="E288" s="158"/>
      <c r="F288" s="150">
        <f>VLOOKUP(A288,'OPEB Amounts_Report'!$A$10:$A$319,1,FALSE)</f>
        <v>21063</v>
      </c>
      <c r="G288" s="86"/>
      <c r="H288" s="87"/>
    </row>
    <row r="289" spans="1:8">
      <c r="A289" s="12">
        <v>10033</v>
      </c>
      <c r="B289" s="13" t="s">
        <v>270</v>
      </c>
      <c r="C289" s="136">
        <f t="shared" si="9"/>
        <v>157646</v>
      </c>
      <c r="D289" s="138">
        <f t="shared" si="8"/>
        <v>1.2377913595511131E-3</v>
      </c>
      <c r="E289" s="158"/>
      <c r="F289" s="150">
        <f>VLOOKUP(A289,'OPEB Amounts_Report'!$A$10:$A$319,1,FALSE)</f>
        <v>10033</v>
      </c>
      <c r="G289" s="86"/>
      <c r="H289" s="87"/>
    </row>
    <row r="290" spans="1:8">
      <c r="A290" s="10">
        <v>15049</v>
      </c>
      <c r="B290" s="11" t="s">
        <v>271</v>
      </c>
      <c r="C290" s="135">
        <f t="shared" si="9"/>
        <v>192442</v>
      </c>
      <c r="D290" s="137">
        <f t="shared" si="8"/>
        <v>1.5109996118819083E-3</v>
      </c>
      <c r="E290" s="158"/>
      <c r="F290" s="150">
        <f>VLOOKUP(A290,'OPEB Amounts_Report'!$A$10:$A$319,1,FALSE)</f>
        <v>15049</v>
      </c>
      <c r="G290" s="86"/>
      <c r="H290" s="87"/>
    </row>
    <row r="291" spans="1:8">
      <c r="A291" s="12">
        <v>1315</v>
      </c>
      <c r="B291" s="13" t="s">
        <v>272</v>
      </c>
      <c r="C291" s="136">
        <f t="shared" si="9"/>
        <v>104797</v>
      </c>
      <c r="D291" s="138">
        <f t="shared" si="8"/>
        <v>8.2283610815928087E-4</v>
      </c>
      <c r="E291" s="158"/>
      <c r="F291" s="150">
        <f>VLOOKUP(A291,'OPEB Amounts_Report'!$A$10:$A$319,1,FALSE)</f>
        <v>1315</v>
      </c>
      <c r="G291" s="86"/>
      <c r="H291" s="87"/>
    </row>
    <row r="292" spans="1:8">
      <c r="A292" s="10">
        <v>3340</v>
      </c>
      <c r="B292" s="11" t="s">
        <v>273</v>
      </c>
      <c r="C292" s="135">
        <f t="shared" si="9"/>
        <v>33777</v>
      </c>
      <c r="D292" s="137">
        <f t="shared" si="8"/>
        <v>2.6520735541376217E-4</v>
      </c>
      <c r="E292" s="158"/>
      <c r="F292" s="150">
        <f>VLOOKUP(A292,'OPEB Amounts_Report'!$A$10:$A$319,1,FALSE)</f>
        <v>3340</v>
      </c>
      <c r="G292" s="86"/>
      <c r="H292" s="87"/>
    </row>
    <row r="293" spans="1:8">
      <c r="A293" s="12">
        <v>3350</v>
      </c>
      <c r="B293" s="13" t="s">
        <v>274</v>
      </c>
      <c r="C293" s="136">
        <f t="shared" si="9"/>
        <v>267940</v>
      </c>
      <c r="D293" s="138">
        <f t="shared" si="8"/>
        <v>2.1037883414620432E-3</v>
      </c>
      <c r="E293" s="158"/>
      <c r="F293" s="150">
        <f>VLOOKUP(A293,'OPEB Amounts_Report'!$A$10:$A$319,1,FALSE)</f>
        <v>3350</v>
      </c>
      <c r="G293" s="86"/>
      <c r="H293" s="87"/>
    </row>
    <row r="294" spans="1:8">
      <c r="A294" s="10">
        <v>24073</v>
      </c>
      <c r="B294" s="11" t="s">
        <v>275</v>
      </c>
      <c r="C294" s="135">
        <f t="shared" si="9"/>
        <v>31042</v>
      </c>
      <c r="D294" s="137">
        <f t="shared" si="8"/>
        <v>2.437329166815882E-4</v>
      </c>
      <c r="E294" s="158"/>
      <c r="F294" s="150">
        <f>VLOOKUP(A294,'OPEB Amounts_Report'!$A$10:$A$319,1,FALSE)</f>
        <v>24073</v>
      </c>
      <c r="G294" s="86"/>
      <c r="H294" s="87"/>
    </row>
    <row r="295" spans="1:8">
      <c r="A295" s="12">
        <v>2100</v>
      </c>
      <c r="B295" s="13" t="s">
        <v>276</v>
      </c>
      <c r="C295" s="136">
        <f t="shared" si="9"/>
        <v>29439</v>
      </c>
      <c r="D295" s="138">
        <f t="shared" si="8"/>
        <v>2.3114661858737436E-4</v>
      </c>
      <c r="E295" s="158"/>
      <c r="F295" s="150">
        <f>VLOOKUP(A295,'OPEB Amounts_Report'!$A$10:$A$319,1,FALSE)</f>
        <v>2100</v>
      </c>
      <c r="G295" s="86"/>
      <c r="H295" s="87"/>
    </row>
    <row r="296" spans="1:8">
      <c r="A296" s="10">
        <v>2130</v>
      </c>
      <c r="B296" s="11" t="s">
        <v>277</v>
      </c>
      <c r="C296" s="135">
        <f t="shared" si="9"/>
        <v>9501</v>
      </c>
      <c r="D296" s="137">
        <f t="shared" si="8"/>
        <v>7.4599137986977945E-5</v>
      </c>
      <c r="E296" s="158"/>
      <c r="F296" s="150">
        <f>VLOOKUP(A296,'OPEB Amounts_Report'!$A$10:$A$319,1,FALSE)</f>
        <v>2130</v>
      </c>
      <c r="G296" s="86"/>
      <c r="H296" s="87"/>
    </row>
    <row r="297" spans="1:8">
      <c r="A297" s="12">
        <v>32099</v>
      </c>
      <c r="B297" s="43" t="s">
        <v>278</v>
      </c>
      <c r="C297" s="156">
        <f t="shared" si="9"/>
        <v>11975</v>
      </c>
      <c r="D297" s="140">
        <f t="shared" si="8"/>
        <v>9.4024279275240594E-5</v>
      </c>
      <c r="E297" s="158"/>
      <c r="F297" s="150">
        <f>VLOOKUP(A297,'OPEB Amounts_Report'!$A$10:$A$319,1,FALSE)</f>
        <v>32099</v>
      </c>
      <c r="G297" s="86"/>
      <c r="H297" s="87"/>
    </row>
    <row r="298" spans="1:8">
      <c r="A298" s="10">
        <v>32100</v>
      </c>
      <c r="B298" s="11" t="s">
        <v>279</v>
      </c>
      <c r="C298" s="135">
        <f t="shared" si="9"/>
        <v>22885</v>
      </c>
      <c r="D298" s="137">
        <f t="shared" si="8"/>
        <v>1.7968648277360175E-4</v>
      </c>
      <c r="E298" s="158"/>
      <c r="F298" s="150">
        <f>VLOOKUP(A298,'OPEB Amounts_Report'!$A$10:$A$319,1,FALSE)</f>
        <v>32100</v>
      </c>
      <c r="G298" s="86"/>
      <c r="H298" s="87"/>
    </row>
    <row r="299" spans="1:8">
      <c r="A299" s="12">
        <v>32101</v>
      </c>
      <c r="B299" s="13" t="s">
        <v>280</v>
      </c>
      <c r="C299" s="136">
        <f t="shared" si="9"/>
        <v>8124</v>
      </c>
      <c r="D299" s="138">
        <f t="shared" si="8"/>
        <v>6.3787327334618345E-5</v>
      </c>
      <c r="E299" s="158"/>
      <c r="F299" s="150">
        <f>VLOOKUP(A299,'OPEB Amounts_Report'!$A$10:$A$319,1,FALSE)</f>
        <v>32101</v>
      </c>
      <c r="G299" s="86"/>
      <c r="H299" s="87"/>
    </row>
    <row r="300" spans="1:8">
      <c r="A300" s="10">
        <v>32102</v>
      </c>
      <c r="B300" s="11" t="s">
        <v>281</v>
      </c>
      <c r="C300" s="135">
        <f t="shared" si="9"/>
        <v>13236</v>
      </c>
      <c r="D300" s="137">
        <f t="shared" si="8"/>
        <v>1.0392529106363963E-4</v>
      </c>
      <c r="E300" s="158"/>
      <c r="F300" s="150">
        <f>VLOOKUP(A300,'OPEB Amounts_Report'!$A$10:$A$319,1,FALSE)</f>
        <v>32102</v>
      </c>
      <c r="G300" s="86"/>
      <c r="H300" s="87"/>
    </row>
    <row r="301" spans="1:8">
      <c r="A301" s="12">
        <v>2880</v>
      </c>
      <c r="B301" s="13" t="s">
        <v>282</v>
      </c>
      <c r="C301" s="136">
        <f t="shared" si="9"/>
        <v>4583</v>
      </c>
      <c r="D301" s="138">
        <f t="shared" si="8"/>
        <v>3.5984406840787276E-5</v>
      </c>
      <c r="E301" s="158"/>
      <c r="F301" s="150">
        <f>VLOOKUP(A301,'OPEB Amounts_Report'!$A$10:$A$319,1,FALSE)</f>
        <v>2880</v>
      </c>
      <c r="G301" s="86"/>
      <c r="H301" s="87"/>
    </row>
    <row r="302" spans="1:8">
      <c r="A302" s="10">
        <v>2490</v>
      </c>
      <c r="B302" s="11" t="s">
        <v>283</v>
      </c>
      <c r="C302" s="135">
        <f t="shared" si="9"/>
        <v>37419</v>
      </c>
      <c r="D302" s="137">
        <f t="shared" si="8"/>
        <v>2.9380329905638646E-4</v>
      </c>
      <c r="E302" s="158"/>
      <c r="F302" s="150">
        <f>VLOOKUP(A302,'OPEB Amounts_Report'!$A$10:$A$319,1,FALSE)</f>
        <v>2490</v>
      </c>
      <c r="G302" s="86"/>
      <c r="H302" s="87"/>
    </row>
    <row r="303" spans="1:8">
      <c r="A303" s="12">
        <v>2530</v>
      </c>
      <c r="B303" s="43" t="s">
        <v>284</v>
      </c>
      <c r="C303" s="156">
        <f t="shared" si="9"/>
        <v>7057</v>
      </c>
      <c r="D303" s="140">
        <f t="shared" si="8"/>
        <v>5.5409548129049932E-5</v>
      </c>
      <c r="E303" s="158"/>
      <c r="F303" s="150">
        <f>VLOOKUP(A303,'OPEB Amounts_Report'!$A$10:$A$319,1,FALSE)</f>
        <v>2530</v>
      </c>
      <c r="G303" s="86"/>
      <c r="H303" s="87"/>
    </row>
    <row r="304" spans="1:8">
      <c r="A304" s="10">
        <v>2560</v>
      </c>
      <c r="B304" s="11" t="s">
        <v>285</v>
      </c>
      <c r="C304" s="135">
        <f t="shared" si="9"/>
        <v>19825</v>
      </c>
      <c r="D304" s="137">
        <f t="shared" si="8"/>
        <v>1.5566023687946931E-4</v>
      </c>
      <c r="E304" s="158"/>
      <c r="F304" s="150">
        <f>VLOOKUP(A304,'OPEB Amounts_Report'!$A$10:$A$319,1,FALSE)</f>
        <v>2560</v>
      </c>
      <c r="G304" s="86"/>
      <c r="H304" s="87"/>
    </row>
    <row r="305" spans="1:8">
      <c r="A305" s="12">
        <v>2610</v>
      </c>
      <c r="B305" s="13" t="s">
        <v>286</v>
      </c>
      <c r="C305" s="136">
        <f t="shared" si="9"/>
        <v>3957</v>
      </c>
      <c r="D305" s="138">
        <f t="shared" si="8"/>
        <v>3.1069233661137961E-5</v>
      </c>
      <c r="E305" s="158"/>
      <c r="F305" s="150">
        <f>VLOOKUP(A305,'OPEB Amounts_Report'!$A$10:$A$319,1,FALSE)</f>
        <v>2610</v>
      </c>
      <c r="G305" s="86"/>
      <c r="H305" s="87"/>
    </row>
    <row r="306" spans="1:8">
      <c r="A306" s="10">
        <v>2800</v>
      </c>
      <c r="B306" s="11" t="s">
        <v>287</v>
      </c>
      <c r="C306" s="135">
        <f t="shared" si="9"/>
        <v>11841</v>
      </c>
      <c r="D306" s="137">
        <f t="shared" si="8"/>
        <v>9.2972149553079248E-5</v>
      </c>
      <c r="E306" s="158"/>
      <c r="F306" s="150">
        <f>VLOOKUP(A306,'OPEB Amounts_Report'!$A$10:$A$319,1,FALSE)</f>
        <v>2800</v>
      </c>
      <c r="G306" s="86"/>
      <c r="H306" s="87"/>
    </row>
    <row r="307" spans="1:8">
      <c r="A307" s="12">
        <v>20317</v>
      </c>
      <c r="B307" s="13" t="s">
        <v>288</v>
      </c>
      <c r="C307" s="136">
        <f t="shared" si="9"/>
        <v>19716</v>
      </c>
      <c r="D307" s="138">
        <f t="shared" si="8"/>
        <v>1.5480440001592013E-4</v>
      </c>
      <c r="E307" s="158"/>
      <c r="F307" s="150">
        <f>VLOOKUP(A307,'OPEB Amounts_Report'!$A$10:$A$319,1,FALSE)</f>
        <v>20317</v>
      </c>
      <c r="G307" s="86"/>
      <c r="H307" s="87"/>
    </row>
    <row r="308" spans="1:8">
      <c r="A308" s="10">
        <v>2442</v>
      </c>
      <c r="B308" s="11" t="s">
        <v>415</v>
      </c>
      <c r="C308" s="135">
        <f t="shared" si="9"/>
        <v>18324</v>
      </c>
      <c r="D308" s="137">
        <f t="shared" si="8"/>
        <v>1.4387481364839321E-4</v>
      </c>
      <c r="E308" s="158"/>
      <c r="F308" s="150">
        <f>VLOOKUP(A308,'OPEB Amounts_Report'!$A$10:$A$319,1,FALSE)</f>
        <v>2442</v>
      </c>
      <c r="G308" s="86"/>
      <c r="H308" s="87"/>
    </row>
    <row r="309" spans="1:8">
      <c r="A309" s="12">
        <v>30090</v>
      </c>
      <c r="B309" s="13" t="s">
        <v>289</v>
      </c>
      <c r="C309" s="136">
        <f t="shared" si="9"/>
        <v>35592</v>
      </c>
      <c r="D309" s="138">
        <f t="shared" si="8"/>
        <v>2.7945821694900738E-4</v>
      </c>
      <c r="E309" s="158"/>
      <c r="F309" s="150">
        <f>VLOOKUP(A309,'OPEB Amounts_Report'!$A$10:$A$319,1,FALSE)</f>
        <v>30090</v>
      </c>
      <c r="G309" s="86"/>
      <c r="H309" s="87"/>
    </row>
    <row r="310" spans="1:8">
      <c r="A310" s="10">
        <v>29330</v>
      </c>
      <c r="B310" s="11" t="s">
        <v>290</v>
      </c>
      <c r="C310" s="135">
        <f t="shared" si="9"/>
        <v>17820</v>
      </c>
      <c r="D310" s="137">
        <f t="shared" si="8"/>
        <v>1.399175496187714E-4</v>
      </c>
      <c r="E310" s="158"/>
      <c r="F310" s="150">
        <f>VLOOKUP(A310,'OPEB Amounts_Report'!$A$10:$A$319,1,FALSE)</f>
        <v>29330</v>
      </c>
      <c r="G310" s="86"/>
      <c r="H310" s="87"/>
    </row>
    <row r="311" spans="1:8">
      <c r="A311" s="12">
        <v>12038</v>
      </c>
      <c r="B311" s="13" t="s">
        <v>291</v>
      </c>
      <c r="C311" s="136">
        <f t="shared" si="9"/>
        <v>301499</v>
      </c>
      <c r="D311" s="138">
        <f t="shared" si="8"/>
        <v>2.3672840231487068E-3</v>
      </c>
      <c r="E311" s="158"/>
      <c r="F311" s="150">
        <f>VLOOKUP(A311,'OPEB Amounts_Report'!$A$10:$A$319,1,FALSE)</f>
        <v>12038</v>
      </c>
      <c r="G311" s="86"/>
      <c r="H311" s="87"/>
    </row>
    <row r="312" spans="1:8">
      <c r="A312" s="10">
        <v>8099</v>
      </c>
      <c r="B312" s="11" t="s">
        <v>292</v>
      </c>
      <c r="C312" s="135">
        <f>+VLOOKUP(A312,$D$321:$F$629,3,FALSE)</f>
        <v>537109</v>
      </c>
      <c r="D312" s="137">
        <f t="shared" si="8"/>
        <v>4.2172264398534619E-3</v>
      </c>
      <c r="E312" s="158"/>
      <c r="F312" s="150">
        <f>VLOOKUP(A312,'OPEB Amounts_Report'!$A$10:$A$319,1,FALSE)</f>
        <v>8099</v>
      </c>
      <c r="G312" s="86"/>
      <c r="H312" s="87"/>
    </row>
    <row r="313" spans="1:8">
      <c r="A313" s="12">
        <v>2417</v>
      </c>
      <c r="B313" s="13" t="s">
        <v>293</v>
      </c>
      <c r="C313" s="136">
        <f t="shared" ref="C313:C314" si="10">+VLOOKUP(A313,$D$321:$F$629,3,FALSE)</f>
        <v>10479</v>
      </c>
      <c r="D313" s="138">
        <f t="shared" si="8"/>
        <v>8.2278114615886945E-5</v>
      </c>
      <c r="E313" s="158"/>
      <c r="F313" s="150">
        <f>VLOOKUP(A313,'OPEB Amounts_Report'!$A$10:$A$319,1,FALSE)</f>
        <v>2417</v>
      </c>
      <c r="G313" s="86"/>
      <c r="H313" s="87"/>
    </row>
    <row r="314" spans="1:8">
      <c r="A314" s="10">
        <v>13142</v>
      </c>
      <c r="B314" s="11" t="s">
        <v>294</v>
      </c>
      <c r="C314" s="216">
        <f t="shared" si="10"/>
        <v>328450</v>
      </c>
      <c r="D314" s="217">
        <f t="shared" si="8"/>
        <v>2.5788955764469959E-3</v>
      </c>
      <c r="E314" s="158"/>
      <c r="F314" s="150">
        <f>VLOOKUP(A314,'OPEB Amounts_Report'!$A$10:$A$319,1,FALSE)</f>
        <v>13142</v>
      </c>
    </row>
    <row r="315" spans="1:8">
      <c r="A315" s="10"/>
      <c r="B315" s="11"/>
      <c r="C315" s="135"/>
      <c r="D315" s="137"/>
      <c r="E315" s="99"/>
      <c r="F315" s="99"/>
    </row>
    <row r="316" spans="1:8" ht="13.5" thickBot="1">
      <c r="A316" s="18"/>
      <c r="B316" s="21"/>
      <c r="C316" s="143">
        <f>SUM(C9:C315)</f>
        <v>127360721</v>
      </c>
      <c r="D316" s="139">
        <f>SUM(D9:D315)</f>
        <v>1.0000000000000004</v>
      </c>
      <c r="E316" s="99"/>
      <c r="F316" s="99"/>
    </row>
    <row r="317" spans="1:8" ht="13.5" thickTop="1">
      <c r="A317" s="18"/>
      <c r="B317" s="21"/>
      <c r="C317" s="151"/>
      <c r="D317" s="20"/>
      <c r="E317" s="99"/>
      <c r="F317" s="99"/>
    </row>
    <row r="318" spans="1:8">
      <c r="A318" s="18"/>
      <c r="B318" s="21"/>
      <c r="E318" s="99"/>
      <c r="F318" s="99"/>
    </row>
    <row r="319" spans="1:8">
      <c r="A319" s="18"/>
      <c r="B319" s="21"/>
      <c r="C319" s="151"/>
      <c r="D319" s="20"/>
      <c r="E319" s="99"/>
      <c r="F319" s="99"/>
    </row>
    <row r="320" spans="1:8">
      <c r="A320" s="18"/>
      <c r="B320" s="21"/>
      <c r="C320" s="151"/>
      <c r="D320" s="20"/>
      <c r="E320" s="99"/>
      <c r="F320" s="99"/>
    </row>
    <row r="321" spans="1:8" ht="15">
      <c r="A321" s="19"/>
      <c r="C321" s="121"/>
      <c r="D321" s="196" t="s">
        <v>450</v>
      </c>
      <c r="E321" s="196" t="s">
        <v>451</v>
      </c>
      <c r="F321" s="200" t="s">
        <v>452</v>
      </c>
    </row>
    <row r="322" spans="1:8" ht="15">
      <c r="D322" s="196">
        <v>1341</v>
      </c>
      <c r="E322" s="196" t="s">
        <v>5</v>
      </c>
      <c r="F322" s="195">
        <v>30679831</v>
      </c>
      <c r="G322" s="107">
        <f>VLOOKUP(D322,$A$9:$C$314,3,FALSE)</f>
        <v>30679831</v>
      </c>
      <c r="H322" s="108">
        <f>+F322-G322</f>
        <v>0</v>
      </c>
    </row>
    <row r="323" spans="1:8" ht="15">
      <c r="D323" s="196"/>
      <c r="E323" s="196"/>
      <c r="F323" s="197"/>
    </row>
    <row r="324" spans="1:8" ht="15">
      <c r="D324" s="196"/>
      <c r="E324" s="196"/>
      <c r="F324" s="200"/>
    </row>
    <row r="325" spans="1:8" ht="15">
      <c r="D325" s="196">
        <v>2308</v>
      </c>
      <c r="E325" s="196" t="s">
        <v>6</v>
      </c>
      <c r="F325" s="200">
        <v>58318</v>
      </c>
      <c r="G325" s="107">
        <f t="shared" ref="G325:G388" si="11">VLOOKUP(D325,$A$9:$C$314,3,FALSE)</f>
        <v>58318</v>
      </c>
      <c r="H325" s="108">
        <f>+F325-G325</f>
        <v>0</v>
      </c>
    </row>
    <row r="326" spans="1:8" ht="15">
      <c r="D326" s="196">
        <v>2340</v>
      </c>
      <c r="E326" s="196" t="s">
        <v>7</v>
      </c>
      <c r="F326" s="200">
        <v>56517</v>
      </c>
      <c r="G326" s="107">
        <f t="shared" si="11"/>
        <v>56517</v>
      </c>
      <c r="H326" s="108">
        <f t="shared" ref="H326:H389" si="12">+F326-G326</f>
        <v>0</v>
      </c>
    </row>
    <row r="327" spans="1:8" ht="15">
      <c r="D327" s="196">
        <v>1301</v>
      </c>
      <c r="E327" s="196" t="s">
        <v>8</v>
      </c>
      <c r="F327" s="200">
        <v>65256</v>
      </c>
      <c r="G327" s="107">
        <f t="shared" si="11"/>
        <v>65256</v>
      </c>
      <c r="H327" s="108">
        <f t="shared" si="12"/>
        <v>0</v>
      </c>
    </row>
    <row r="328" spans="1:8" ht="15">
      <c r="D328" s="196">
        <v>2390</v>
      </c>
      <c r="E328" s="196" t="s">
        <v>9</v>
      </c>
      <c r="F328" s="200">
        <v>51993</v>
      </c>
      <c r="G328" s="107">
        <f t="shared" si="11"/>
        <v>51993</v>
      </c>
      <c r="H328" s="108">
        <f t="shared" si="12"/>
        <v>0</v>
      </c>
    </row>
    <row r="329" spans="1:8" ht="15">
      <c r="D329" s="196">
        <v>2441</v>
      </c>
      <c r="E329" s="196" t="s">
        <v>408</v>
      </c>
      <c r="F329" s="200">
        <v>23967</v>
      </c>
      <c r="G329" s="107">
        <f t="shared" si="11"/>
        <v>23967</v>
      </c>
      <c r="H329" s="108">
        <f t="shared" si="12"/>
        <v>0</v>
      </c>
    </row>
    <row r="330" spans="1:8" ht="15">
      <c r="D330" s="196">
        <v>15046</v>
      </c>
      <c r="E330" s="196" t="s">
        <v>10</v>
      </c>
      <c r="F330" s="200">
        <v>961525</v>
      </c>
      <c r="G330" s="107">
        <f t="shared" si="11"/>
        <v>961525</v>
      </c>
      <c r="H330" s="108">
        <f t="shared" si="12"/>
        <v>0</v>
      </c>
    </row>
    <row r="331" spans="1:8" ht="15">
      <c r="D331" s="196">
        <v>2420</v>
      </c>
      <c r="E331" s="196" t="s">
        <v>453</v>
      </c>
      <c r="F331" s="200">
        <v>33831</v>
      </c>
      <c r="G331" s="107">
        <f t="shared" si="11"/>
        <v>33831</v>
      </c>
      <c r="H331" s="108">
        <f t="shared" si="12"/>
        <v>0</v>
      </c>
    </row>
    <row r="332" spans="1:8" ht="15">
      <c r="D332" s="196">
        <v>4380</v>
      </c>
      <c r="E332" s="197" t="s">
        <v>11</v>
      </c>
      <c r="F332" s="200">
        <v>787897</v>
      </c>
      <c r="G332" s="107">
        <f t="shared" si="11"/>
        <v>787897</v>
      </c>
      <c r="H332" s="108">
        <f t="shared" si="12"/>
        <v>0</v>
      </c>
    </row>
    <row r="333" spans="1:8" ht="15">
      <c r="D333" s="196">
        <v>2343</v>
      </c>
      <c r="E333" s="196" t="s">
        <v>409</v>
      </c>
      <c r="F333" s="200">
        <v>75969</v>
      </c>
      <c r="G333" s="107">
        <f t="shared" si="11"/>
        <v>75969</v>
      </c>
      <c r="H333" s="108">
        <f t="shared" si="12"/>
        <v>0</v>
      </c>
    </row>
    <row r="334" spans="1:8" ht="15">
      <c r="D334" s="196">
        <v>2435</v>
      </c>
      <c r="E334" s="196" t="s">
        <v>391</v>
      </c>
      <c r="F334" s="200">
        <v>30149</v>
      </c>
      <c r="G334" s="107">
        <f t="shared" si="11"/>
        <v>30149</v>
      </c>
      <c r="H334" s="108">
        <f t="shared" si="12"/>
        <v>0</v>
      </c>
    </row>
    <row r="335" spans="1:8" ht="15">
      <c r="D335" s="196">
        <v>4560</v>
      </c>
      <c r="E335" s="198" t="s">
        <v>12</v>
      </c>
      <c r="F335" s="200">
        <v>76653</v>
      </c>
      <c r="G335" s="107">
        <f t="shared" si="11"/>
        <v>76653</v>
      </c>
      <c r="H335" s="108">
        <f t="shared" si="12"/>
        <v>0</v>
      </c>
    </row>
    <row r="336" spans="1:8" ht="15">
      <c r="D336" s="196">
        <v>2341</v>
      </c>
      <c r="E336" s="196" t="s">
        <v>429</v>
      </c>
      <c r="F336" s="200">
        <v>43421</v>
      </c>
      <c r="G336" s="107">
        <f t="shared" si="11"/>
        <v>43421</v>
      </c>
      <c r="H336" s="108">
        <f t="shared" si="12"/>
        <v>0</v>
      </c>
    </row>
    <row r="337" spans="4:8" ht="15">
      <c r="D337" s="196">
        <v>4580</v>
      </c>
      <c r="E337" s="196" t="s">
        <v>392</v>
      </c>
      <c r="F337" s="200">
        <v>44516</v>
      </c>
      <c r="G337" s="107">
        <f t="shared" si="11"/>
        <v>44516</v>
      </c>
      <c r="H337" s="108">
        <f t="shared" si="12"/>
        <v>0</v>
      </c>
    </row>
    <row r="338" spans="4:8" ht="15">
      <c r="D338" s="196">
        <v>2003</v>
      </c>
      <c r="E338" s="196" t="s">
        <v>13</v>
      </c>
      <c r="F338" s="200">
        <v>14087128</v>
      </c>
      <c r="G338" s="107">
        <f t="shared" si="11"/>
        <v>14087128</v>
      </c>
      <c r="H338" s="108">
        <f t="shared" si="12"/>
        <v>0</v>
      </c>
    </row>
    <row r="339" spans="4:8" ht="15">
      <c r="D339" s="196">
        <v>2412</v>
      </c>
      <c r="E339" s="196" t="s">
        <v>14</v>
      </c>
      <c r="F339" s="200">
        <v>136033</v>
      </c>
      <c r="G339" s="107">
        <f t="shared" si="11"/>
        <v>136033</v>
      </c>
      <c r="H339" s="108">
        <f t="shared" si="12"/>
        <v>0</v>
      </c>
    </row>
    <row r="340" spans="4:8" ht="15">
      <c r="D340" s="196">
        <v>2402</v>
      </c>
      <c r="E340" s="196" t="s">
        <v>15</v>
      </c>
      <c r="F340" s="200">
        <v>67533</v>
      </c>
      <c r="G340" s="107">
        <f t="shared" si="11"/>
        <v>67533</v>
      </c>
      <c r="H340" s="108">
        <f t="shared" si="12"/>
        <v>0</v>
      </c>
    </row>
    <row r="341" spans="4:8" ht="15">
      <c r="D341" s="196">
        <v>2361</v>
      </c>
      <c r="E341" s="196" t="s">
        <v>16</v>
      </c>
      <c r="F341" s="200">
        <v>22735</v>
      </c>
      <c r="G341" s="107">
        <f t="shared" si="11"/>
        <v>22735</v>
      </c>
      <c r="H341" s="108">
        <f t="shared" si="12"/>
        <v>0</v>
      </c>
    </row>
    <row r="342" spans="4:8" ht="15">
      <c r="D342" s="196">
        <v>8347</v>
      </c>
      <c r="E342" s="196" t="s">
        <v>17</v>
      </c>
      <c r="F342" s="200">
        <v>42942</v>
      </c>
      <c r="G342" s="107">
        <f t="shared" si="11"/>
        <v>42942</v>
      </c>
      <c r="H342" s="108">
        <f t="shared" si="12"/>
        <v>0</v>
      </c>
    </row>
    <row r="343" spans="4:8" ht="15">
      <c r="D343" s="196">
        <v>2356</v>
      </c>
      <c r="E343" s="198" t="s">
        <v>18</v>
      </c>
      <c r="F343" s="200">
        <v>77333</v>
      </c>
      <c r="G343" s="107">
        <f t="shared" si="11"/>
        <v>77333</v>
      </c>
      <c r="H343" s="108">
        <f t="shared" si="12"/>
        <v>0</v>
      </c>
    </row>
    <row r="344" spans="4:8" ht="15">
      <c r="D344" s="196">
        <v>7335</v>
      </c>
      <c r="E344" s="196" t="s">
        <v>19</v>
      </c>
      <c r="F344" s="200">
        <v>21347</v>
      </c>
      <c r="G344" s="107">
        <f t="shared" si="11"/>
        <v>21347</v>
      </c>
      <c r="H344" s="108">
        <f t="shared" si="12"/>
        <v>0</v>
      </c>
    </row>
    <row r="345" spans="4:8" ht="15">
      <c r="D345" s="196">
        <v>575</v>
      </c>
      <c r="E345" s="196" t="s">
        <v>393</v>
      </c>
      <c r="F345" s="200">
        <v>27670</v>
      </c>
      <c r="G345" s="107">
        <f t="shared" si="11"/>
        <v>27670</v>
      </c>
      <c r="H345" s="108">
        <f t="shared" si="12"/>
        <v>0</v>
      </c>
    </row>
    <row r="346" spans="4:8" ht="15">
      <c r="D346" s="196">
        <v>2303</v>
      </c>
      <c r="E346" s="196" t="s">
        <v>20</v>
      </c>
      <c r="F346" s="200">
        <v>47813</v>
      </c>
      <c r="G346" s="107">
        <f t="shared" si="11"/>
        <v>47813</v>
      </c>
      <c r="H346" s="108">
        <f t="shared" si="12"/>
        <v>0</v>
      </c>
    </row>
    <row r="347" spans="4:8" ht="15">
      <c r="D347" s="196">
        <v>20316</v>
      </c>
      <c r="E347" s="196" t="s">
        <v>21</v>
      </c>
      <c r="F347" s="200">
        <v>33803</v>
      </c>
      <c r="G347" s="107">
        <f t="shared" si="11"/>
        <v>33803</v>
      </c>
      <c r="H347" s="108">
        <f t="shared" si="12"/>
        <v>0</v>
      </c>
    </row>
    <row r="348" spans="4:8" ht="15">
      <c r="D348" s="196">
        <v>23121</v>
      </c>
      <c r="E348" s="196" t="s">
        <v>22</v>
      </c>
      <c r="F348" s="200">
        <v>41285</v>
      </c>
      <c r="G348" s="107">
        <f t="shared" si="11"/>
        <v>41285</v>
      </c>
      <c r="H348" s="108">
        <f t="shared" si="12"/>
        <v>0</v>
      </c>
    </row>
    <row r="349" spans="4:8" ht="15">
      <c r="D349" s="196">
        <v>3004</v>
      </c>
      <c r="E349" s="196" t="s">
        <v>23</v>
      </c>
      <c r="F349" s="200">
        <v>603295</v>
      </c>
      <c r="G349" s="107">
        <f t="shared" si="11"/>
        <v>603295</v>
      </c>
      <c r="H349" s="108">
        <f t="shared" si="12"/>
        <v>0</v>
      </c>
    </row>
    <row r="350" spans="4:8" ht="15">
      <c r="D350" s="196">
        <v>16050</v>
      </c>
      <c r="E350" s="196" t="s">
        <v>24</v>
      </c>
      <c r="F350" s="200">
        <v>395643</v>
      </c>
      <c r="G350" s="107">
        <f t="shared" si="11"/>
        <v>395643</v>
      </c>
      <c r="H350" s="108">
        <f t="shared" si="12"/>
        <v>0</v>
      </c>
    </row>
    <row r="351" spans="4:8" ht="15">
      <c r="D351" s="196">
        <v>14043</v>
      </c>
      <c r="E351" s="196" t="s">
        <v>25</v>
      </c>
      <c r="F351" s="200">
        <v>604735</v>
      </c>
      <c r="G351" s="107">
        <f t="shared" si="11"/>
        <v>604735</v>
      </c>
      <c r="H351" s="108">
        <f t="shared" si="12"/>
        <v>0</v>
      </c>
    </row>
    <row r="352" spans="4:8" ht="15">
      <c r="D352" s="196">
        <v>3010</v>
      </c>
      <c r="E352" s="196" t="s">
        <v>26</v>
      </c>
      <c r="F352" s="200">
        <v>3693592</v>
      </c>
      <c r="G352" s="107">
        <f t="shared" si="11"/>
        <v>3693592</v>
      </c>
      <c r="H352" s="108">
        <f t="shared" si="12"/>
        <v>0</v>
      </c>
    </row>
    <row r="353" spans="4:8" ht="15">
      <c r="D353" s="196">
        <v>29086</v>
      </c>
      <c r="E353" s="196" t="s">
        <v>27</v>
      </c>
      <c r="F353" s="200">
        <v>685763</v>
      </c>
      <c r="G353" s="107">
        <f t="shared" si="11"/>
        <v>685763</v>
      </c>
      <c r="H353" s="108">
        <f t="shared" si="12"/>
        <v>0</v>
      </c>
    </row>
    <row r="354" spans="4:8" ht="15">
      <c r="D354" s="196">
        <v>16051</v>
      </c>
      <c r="E354" s="196" t="s">
        <v>28</v>
      </c>
      <c r="F354" s="200">
        <v>475580</v>
      </c>
      <c r="G354" s="107">
        <f t="shared" si="11"/>
        <v>475580</v>
      </c>
      <c r="H354" s="108">
        <f t="shared" si="12"/>
        <v>0</v>
      </c>
    </row>
    <row r="355" spans="4:8" ht="15">
      <c r="D355" s="196">
        <v>26077</v>
      </c>
      <c r="E355" s="196" t="s">
        <v>29</v>
      </c>
      <c r="F355" s="200">
        <v>97057</v>
      </c>
      <c r="G355" s="107">
        <f t="shared" si="11"/>
        <v>97057</v>
      </c>
      <c r="H355" s="108">
        <f t="shared" si="12"/>
        <v>0</v>
      </c>
    </row>
    <row r="356" spans="4:8" ht="15">
      <c r="D356" s="196">
        <v>3005</v>
      </c>
      <c r="E356" s="196" t="s">
        <v>30</v>
      </c>
      <c r="F356" s="200">
        <v>1220090</v>
      </c>
      <c r="G356" s="107">
        <f t="shared" si="11"/>
        <v>1220090</v>
      </c>
      <c r="H356" s="108">
        <f t="shared" si="12"/>
        <v>0</v>
      </c>
    </row>
    <row r="357" spans="4:8" ht="15">
      <c r="D357" s="196">
        <v>26078</v>
      </c>
      <c r="E357" s="196" t="s">
        <v>31</v>
      </c>
      <c r="F357" s="200">
        <v>39156</v>
      </c>
      <c r="G357" s="107">
        <f t="shared" si="11"/>
        <v>39156</v>
      </c>
      <c r="H357" s="108">
        <f t="shared" si="12"/>
        <v>0</v>
      </c>
    </row>
    <row r="358" spans="4:8" ht="15">
      <c r="D358" s="196">
        <v>16053</v>
      </c>
      <c r="E358" s="196" t="s">
        <v>32</v>
      </c>
      <c r="F358" s="200">
        <v>1186851</v>
      </c>
      <c r="G358" s="107">
        <f t="shared" si="11"/>
        <v>1186851</v>
      </c>
      <c r="H358" s="108">
        <f t="shared" si="12"/>
        <v>0</v>
      </c>
    </row>
    <row r="359" spans="4:8" ht="15">
      <c r="D359" s="196">
        <v>2123</v>
      </c>
      <c r="E359" s="196" t="s">
        <v>33</v>
      </c>
      <c r="F359" s="200">
        <v>2007551</v>
      </c>
      <c r="G359" s="107">
        <f t="shared" si="11"/>
        <v>2007551</v>
      </c>
      <c r="H359" s="108">
        <f t="shared" si="12"/>
        <v>0</v>
      </c>
    </row>
    <row r="360" spans="4:8" ht="15">
      <c r="D360" s="196">
        <v>2150</v>
      </c>
      <c r="E360" s="196" t="s">
        <v>34</v>
      </c>
      <c r="F360" s="200">
        <v>169184</v>
      </c>
      <c r="G360" s="107">
        <f t="shared" si="11"/>
        <v>169184</v>
      </c>
      <c r="H360" s="108">
        <f t="shared" si="12"/>
        <v>0</v>
      </c>
    </row>
    <row r="361" spans="4:8" ht="15">
      <c r="D361" s="196">
        <v>2336</v>
      </c>
      <c r="E361" s="196" t="s">
        <v>35</v>
      </c>
      <c r="F361" s="200">
        <v>31859</v>
      </c>
      <c r="G361" s="107">
        <f t="shared" si="11"/>
        <v>31859</v>
      </c>
      <c r="H361" s="108">
        <f t="shared" si="12"/>
        <v>0</v>
      </c>
    </row>
    <row r="362" spans="4:8" ht="15">
      <c r="D362" s="196">
        <v>17126</v>
      </c>
      <c r="E362" s="196" t="s">
        <v>36</v>
      </c>
      <c r="F362" s="200">
        <v>87420</v>
      </c>
      <c r="G362" s="107">
        <f t="shared" si="11"/>
        <v>87420</v>
      </c>
      <c r="H362" s="108">
        <f t="shared" si="12"/>
        <v>0</v>
      </c>
    </row>
    <row r="363" spans="4:8" ht="15">
      <c r="D363" s="196">
        <v>3030</v>
      </c>
      <c r="E363" s="196" t="s">
        <v>37</v>
      </c>
      <c r="F363" s="200">
        <v>225300</v>
      </c>
      <c r="G363" s="107">
        <f t="shared" si="11"/>
        <v>225300</v>
      </c>
      <c r="H363" s="108">
        <f t="shared" si="12"/>
        <v>0</v>
      </c>
    </row>
    <row r="364" spans="4:8" ht="15">
      <c r="D364" s="196">
        <v>2353</v>
      </c>
      <c r="E364" s="196" t="s">
        <v>38</v>
      </c>
      <c r="F364" s="200">
        <v>97864</v>
      </c>
      <c r="G364" s="107">
        <f t="shared" si="11"/>
        <v>97864</v>
      </c>
      <c r="H364" s="108">
        <f t="shared" si="12"/>
        <v>0</v>
      </c>
    </row>
    <row r="365" spans="4:8" ht="15">
      <c r="D365" s="196">
        <v>3040</v>
      </c>
      <c r="E365" s="196" t="s">
        <v>39</v>
      </c>
      <c r="F365" s="200">
        <v>104754</v>
      </c>
      <c r="G365" s="107">
        <f t="shared" si="11"/>
        <v>104754</v>
      </c>
      <c r="H365" s="108">
        <f t="shared" si="12"/>
        <v>0</v>
      </c>
    </row>
    <row r="366" spans="4:8" ht="15">
      <c r="D366" s="196">
        <v>2367</v>
      </c>
      <c r="E366" s="196" t="s">
        <v>40</v>
      </c>
      <c r="F366" s="200">
        <v>83979</v>
      </c>
      <c r="G366" s="107">
        <f t="shared" si="11"/>
        <v>83979</v>
      </c>
      <c r="H366" s="108">
        <f t="shared" si="12"/>
        <v>0</v>
      </c>
    </row>
    <row r="367" spans="4:8" ht="15">
      <c r="D367" s="196">
        <v>9027</v>
      </c>
      <c r="E367" s="196" t="s">
        <v>41</v>
      </c>
      <c r="F367" s="200">
        <v>89169</v>
      </c>
      <c r="G367" s="107">
        <f t="shared" si="11"/>
        <v>89169</v>
      </c>
      <c r="H367" s="108">
        <f t="shared" si="12"/>
        <v>0</v>
      </c>
    </row>
    <row r="368" spans="4:8" ht="15">
      <c r="D368" s="196">
        <v>2010</v>
      </c>
      <c r="E368" s="196" t="s">
        <v>42</v>
      </c>
      <c r="F368" s="200">
        <v>333647</v>
      </c>
      <c r="G368" s="107">
        <f t="shared" si="11"/>
        <v>333647</v>
      </c>
      <c r="H368" s="108">
        <f t="shared" si="12"/>
        <v>0</v>
      </c>
    </row>
    <row r="369" spans="4:8" ht="15">
      <c r="D369" s="196">
        <v>2020</v>
      </c>
      <c r="E369" s="196" t="s">
        <v>43</v>
      </c>
      <c r="F369" s="200">
        <v>8280642</v>
      </c>
      <c r="G369" s="107">
        <f t="shared" si="11"/>
        <v>8280642</v>
      </c>
      <c r="H369" s="108">
        <f t="shared" si="12"/>
        <v>0</v>
      </c>
    </row>
    <row r="370" spans="4:8" ht="15">
      <c r="D370" s="196">
        <v>2040</v>
      </c>
      <c r="E370" s="196" t="s">
        <v>44</v>
      </c>
      <c r="F370" s="200">
        <v>112591</v>
      </c>
      <c r="G370" s="107">
        <f t="shared" si="11"/>
        <v>112591</v>
      </c>
      <c r="H370" s="108">
        <f t="shared" si="12"/>
        <v>0</v>
      </c>
    </row>
    <row r="371" spans="4:8" ht="15">
      <c r="D371" s="196">
        <v>2060</v>
      </c>
      <c r="E371" s="196" t="s">
        <v>45</v>
      </c>
      <c r="F371" s="200">
        <v>162512</v>
      </c>
      <c r="G371" s="107">
        <f t="shared" si="11"/>
        <v>162512</v>
      </c>
      <c r="H371" s="108">
        <f t="shared" si="12"/>
        <v>0</v>
      </c>
    </row>
    <row r="372" spans="4:8" ht="15">
      <c r="D372" s="196">
        <v>2090</v>
      </c>
      <c r="E372" s="196" t="s">
        <v>46</v>
      </c>
      <c r="F372" s="200">
        <v>96193</v>
      </c>
      <c r="G372" s="107">
        <f t="shared" si="11"/>
        <v>96193</v>
      </c>
      <c r="H372" s="108">
        <f t="shared" si="12"/>
        <v>0</v>
      </c>
    </row>
    <row r="373" spans="4:8" ht="15">
      <c r="D373" s="196">
        <v>2110</v>
      </c>
      <c r="E373" s="196" t="s">
        <v>47</v>
      </c>
      <c r="F373" s="200">
        <v>661744</v>
      </c>
      <c r="G373" s="107">
        <f t="shared" si="11"/>
        <v>661744</v>
      </c>
      <c r="H373" s="108">
        <f t="shared" si="12"/>
        <v>0</v>
      </c>
    </row>
    <row r="374" spans="4:8" ht="15">
      <c r="D374" s="196">
        <v>2180</v>
      </c>
      <c r="E374" s="196" t="s">
        <v>48</v>
      </c>
      <c r="F374" s="200">
        <v>330494</v>
      </c>
      <c r="G374" s="107">
        <f t="shared" si="11"/>
        <v>330494</v>
      </c>
      <c r="H374" s="108">
        <f t="shared" si="12"/>
        <v>0</v>
      </c>
    </row>
    <row r="375" spans="4:8" ht="15">
      <c r="D375" s="196">
        <v>2210</v>
      </c>
      <c r="E375" s="196" t="s">
        <v>49</v>
      </c>
      <c r="F375" s="200">
        <v>149140</v>
      </c>
      <c r="G375" s="107">
        <f t="shared" si="11"/>
        <v>149140</v>
      </c>
      <c r="H375" s="108">
        <f t="shared" si="12"/>
        <v>0</v>
      </c>
    </row>
    <row r="376" spans="4:8" ht="15">
      <c r="D376" s="196">
        <v>2290</v>
      </c>
      <c r="E376" s="196" t="s">
        <v>50</v>
      </c>
      <c r="F376" s="200">
        <v>160562</v>
      </c>
      <c r="G376" s="107">
        <f t="shared" si="11"/>
        <v>160562</v>
      </c>
      <c r="H376" s="108">
        <f t="shared" si="12"/>
        <v>0</v>
      </c>
    </row>
    <row r="377" spans="4:8" ht="15">
      <c r="D377" s="196">
        <v>2310</v>
      </c>
      <c r="E377" s="196" t="s">
        <v>51</v>
      </c>
      <c r="F377" s="200">
        <v>1162197</v>
      </c>
      <c r="G377" s="107">
        <f t="shared" si="11"/>
        <v>1162197</v>
      </c>
      <c r="H377" s="108">
        <f t="shared" si="12"/>
        <v>0</v>
      </c>
    </row>
    <row r="378" spans="4:8" ht="15">
      <c r="D378" s="196">
        <v>2330</v>
      </c>
      <c r="E378" s="196" t="s">
        <v>52</v>
      </c>
      <c r="F378" s="200">
        <v>367333</v>
      </c>
      <c r="G378" s="107">
        <f t="shared" si="11"/>
        <v>367333</v>
      </c>
      <c r="H378" s="108">
        <f t="shared" si="12"/>
        <v>0</v>
      </c>
    </row>
    <row r="379" spans="4:8" ht="15">
      <c r="D379" s="196">
        <v>2380</v>
      </c>
      <c r="E379" s="196" t="s">
        <v>53</v>
      </c>
      <c r="F379" s="200">
        <v>72537</v>
      </c>
      <c r="G379" s="107">
        <f t="shared" si="11"/>
        <v>72537</v>
      </c>
      <c r="H379" s="108">
        <f t="shared" si="12"/>
        <v>0</v>
      </c>
    </row>
    <row r="380" spans="4:8" ht="15">
      <c r="D380" s="196">
        <v>2400</v>
      </c>
      <c r="E380" s="196" t="s">
        <v>54</v>
      </c>
      <c r="F380" s="200">
        <v>2042598</v>
      </c>
      <c r="G380" s="107">
        <f t="shared" si="11"/>
        <v>2042598</v>
      </c>
      <c r="H380" s="108">
        <f t="shared" si="12"/>
        <v>0</v>
      </c>
    </row>
    <row r="381" spans="4:8" ht="15">
      <c r="D381" s="196">
        <v>2410</v>
      </c>
      <c r="E381" s="196" t="s">
        <v>55</v>
      </c>
      <c r="F381" s="200">
        <v>203269</v>
      </c>
      <c r="G381" s="107">
        <f t="shared" si="11"/>
        <v>203269</v>
      </c>
      <c r="H381" s="108">
        <f t="shared" si="12"/>
        <v>0</v>
      </c>
    </row>
    <row r="382" spans="4:8" ht="15">
      <c r="D382" s="196">
        <v>2500</v>
      </c>
      <c r="E382" s="196" t="s">
        <v>56</v>
      </c>
      <c r="F382" s="200">
        <v>37323</v>
      </c>
      <c r="G382" s="107">
        <f t="shared" si="11"/>
        <v>37323</v>
      </c>
      <c r="H382" s="108">
        <f t="shared" si="12"/>
        <v>0</v>
      </c>
    </row>
    <row r="383" spans="4:8" ht="15">
      <c r="D383" s="196">
        <v>2550</v>
      </c>
      <c r="E383" s="196" t="s">
        <v>57</v>
      </c>
      <c r="F383" s="200">
        <v>138774</v>
      </c>
      <c r="G383" s="107">
        <f t="shared" si="11"/>
        <v>138774</v>
      </c>
      <c r="H383" s="108">
        <f t="shared" si="12"/>
        <v>0</v>
      </c>
    </row>
    <row r="384" spans="4:8" ht="15">
      <c r="D384" s="196">
        <v>2570</v>
      </c>
      <c r="E384" s="196" t="s">
        <v>58</v>
      </c>
      <c r="F384" s="200">
        <v>87845</v>
      </c>
      <c r="G384" s="107">
        <f t="shared" si="11"/>
        <v>87845</v>
      </c>
      <c r="H384" s="108">
        <f t="shared" si="12"/>
        <v>0</v>
      </c>
    </row>
    <row r="385" spans="4:8" ht="15">
      <c r="D385" s="196">
        <v>2620</v>
      </c>
      <c r="E385" s="196" t="s">
        <v>59</v>
      </c>
      <c r="F385" s="200">
        <v>916628</v>
      </c>
      <c r="G385" s="107">
        <f t="shared" si="11"/>
        <v>916628</v>
      </c>
      <c r="H385" s="108">
        <f t="shared" si="12"/>
        <v>0</v>
      </c>
    </row>
    <row r="386" spans="4:8" ht="15">
      <c r="D386" s="196">
        <v>2630</v>
      </c>
      <c r="E386" s="196" t="s">
        <v>60</v>
      </c>
      <c r="F386" s="200">
        <v>657740</v>
      </c>
      <c r="G386" s="107">
        <f t="shared" si="11"/>
        <v>657740</v>
      </c>
      <c r="H386" s="108">
        <f t="shared" si="12"/>
        <v>0</v>
      </c>
    </row>
    <row r="387" spans="4:8" ht="15">
      <c r="D387" s="196">
        <v>2690</v>
      </c>
      <c r="E387" s="196" t="s">
        <v>61</v>
      </c>
      <c r="F387" s="200">
        <v>1714719</v>
      </c>
      <c r="G387" s="107">
        <f t="shared" si="11"/>
        <v>1714719</v>
      </c>
      <c r="H387" s="108">
        <f t="shared" si="12"/>
        <v>0</v>
      </c>
    </row>
    <row r="388" spans="4:8" ht="15">
      <c r="D388" s="196">
        <v>2710</v>
      </c>
      <c r="E388" s="196" t="s">
        <v>62</v>
      </c>
      <c r="F388" s="200">
        <v>16247</v>
      </c>
      <c r="G388" s="107">
        <f t="shared" si="11"/>
        <v>16247</v>
      </c>
      <c r="H388" s="108">
        <f t="shared" si="12"/>
        <v>0</v>
      </c>
    </row>
    <row r="389" spans="4:8" ht="15">
      <c r="D389" s="196">
        <v>2730</v>
      </c>
      <c r="E389" s="196" t="s">
        <v>63</v>
      </c>
      <c r="F389" s="200">
        <v>140393</v>
      </c>
      <c r="G389" s="107">
        <f t="shared" ref="G389:G452" si="13">VLOOKUP(D389,$A$9:$C$314,3,FALSE)</f>
        <v>140393</v>
      </c>
      <c r="H389" s="108">
        <f t="shared" si="12"/>
        <v>0</v>
      </c>
    </row>
    <row r="390" spans="4:8" ht="15">
      <c r="D390" s="196">
        <v>2950</v>
      </c>
      <c r="E390" s="196" t="s">
        <v>64</v>
      </c>
      <c r="F390" s="200">
        <v>102978</v>
      </c>
      <c r="G390" s="107">
        <f t="shared" si="13"/>
        <v>102978</v>
      </c>
      <c r="H390" s="108">
        <f t="shared" ref="H390:H453" si="14">+F390-G390</f>
        <v>0</v>
      </c>
    </row>
    <row r="391" spans="4:8" ht="15">
      <c r="D391" s="196">
        <v>2760</v>
      </c>
      <c r="E391" s="196" t="s">
        <v>65</v>
      </c>
      <c r="F391" s="200">
        <v>86516</v>
      </c>
      <c r="G391" s="107">
        <f t="shared" si="13"/>
        <v>86516</v>
      </c>
      <c r="H391" s="108">
        <f t="shared" si="14"/>
        <v>0</v>
      </c>
    </row>
    <row r="392" spans="4:8" ht="15">
      <c r="D392" s="196">
        <v>2780</v>
      </c>
      <c r="E392" s="196" t="s">
        <v>66</v>
      </c>
      <c r="F392" s="200">
        <v>7518</v>
      </c>
      <c r="G392" s="107">
        <f t="shared" si="13"/>
        <v>7518</v>
      </c>
      <c r="H392" s="108">
        <f t="shared" si="14"/>
        <v>0</v>
      </c>
    </row>
    <row r="393" spans="4:8" ht="15">
      <c r="D393" s="196">
        <v>2810</v>
      </c>
      <c r="E393" s="196" t="s">
        <v>67</v>
      </c>
      <c r="F393" s="200">
        <v>67041</v>
      </c>
      <c r="G393" s="107">
        <f t="shared" si="13"/>
        <v>67041</v>
      </c>
      <c r="H393" s="108">
        <f t="shared" si="14"/>
        <v>0</v>
      </c>
    </row>
    <row r="394" spans="4:8" ht="15">
      <c r="D394" s="196">
        <v>18056</v>
      </c>
      <c r="E394" s="196" t="s">
        <v>68</v>
      </c>
      <c r="F394" s="200">
        <v>85826</v>
      </c>
      <c r="G394" s="107">
        <f t="shared" si="13"/>
        <v>85826</v>
      </c>
      <c r="H394" s="108">
        <f t="shared" si="14"/>
        <v>0</v>
      </c>
    </row>
    <row r="395" spans="4:8" ht="15">
      <c r="D395" s="196">
        <v>15047</v>
      </c>
      <c r="E395" s="196" t="s">
        <v>69</v>
      </c>
      <c r="F395" s="200">
        <v>77725</v>
      </c>
      <c r="G395" s="107">
        <f t="shared" si="13"/>
        <v>77725</v>
      </c>
      <c r="H395" s="108">
        <f t="shared" si="14"/>
        <v>0</v>
      </c>
    </row>
    <row r="396" spans="4:8" ht="15">
      <c r="D396" s="196">
        <v>5012</v>
      </c>
      <c r="E396" s="196" t="s">
        <v>70</v>
      </c>
      <c r="F396" s="200">
        <v>1346099</v>
      </c>
      <c r="G396" s="107">
        <f t="shared" si="13"/>
        <v>1346099</v>
      </c>
      <c r="H396" s="108">
        <f t="shared" si="14"/>
        <v>0</v>
      </c>
    </row>
    <row r="397" spans="4:8" ht="15">
      <c r="D397" s="196">
        <v>8024</v>
      </c>
      <c r="E397" s="196" t="s">
        <v>71</v>
      </c>
      <c r="F397" s="200">
        <v>253811</v>
      </c>
      <c r="G397" s="107">
        <f t="shared" si="13"/>
        <v>253811</v>
      </c>
      <c r="H397" s="108">
        <f t="shared" si="14"/>
        <v>0</v>
      </c>
    </row>
    <row r="398" spans="4:8" ht="15">
      <c r="D398" s="196">
        <v>3050</v>
      </c>
      <c r="E398" s="196" t="s">
        <v>72</v>
      </c>
      <c r="F398" s="200">
        <v>94465</v>
      </c>
      <c r="G398" s="107">
        <f t="shared" si="13"/>
        <v>94465</v>
      </c>
      <c r="H398" s="108">
        <f t="shared" si="14"/>
        <v>0</v>
      </c>
    </row>
    <row r="399" spans="4:8" ht="15">
      <c r="D399" s="196">
        <v>2421</v>
      </c>
      <c r="E399" s="196" t="s">
        <v>73</v>
      </c>
      <c r="F399" s="200">
        <v>31066</v>
      </c>
      <c r="G399" s="107">
        <f t="shared" si="13"/>
        <v>31066</v>
      </c>
      <c r="H399" s="108">
        <f t="shared" si="14"/>
        <v>0</v>
      </c>
    </row>
    <row r="400" spans="4:8" ht="15">
      <c r="D400" s="196">
        <v>26079</v>
      </c>
      <c r="E400" s="196" t="s">
        <v>74</v>
      </c>
      <c r="F400" s="200">
        <v>33012</v>
      </c>
      <c r="G400" s="107">
        <f t="shared" si="13"/>
        <v>33012</v>
      </c>
      <c r="H400" s="108">
        <f t="shared" si="14"/>
        <v>0</v>
      </c>
    </row>
    <row r="401" spans="4:8" ht="15">
      <c r="D401" s="196">
        <v>2363</v>
      </c>
      <c r="E401" s="196" t="s">
        <v>75</v>
      </c>
      <c r="F401" s="200">
        <v>37522</v>
      </c>
      <c r="G401" s="107">
        <f t="shared" si="13"/>
        <v>37522</v>
      </c>
      <c r="H401" s="108">
        <f t="shared" si="14"/>
        <v>0</v>
      </c>
    </row>
    <row r="402" spans="4:8" ht="15">
      <c r="D402" s="196">
        <v>2364</v>
      </c>
      <c r="E402" s="196" t="s">
        <v>76</v>
      </c>
      <c r="F402" s="200">
        <v>122219</v>
      </c>
      <c r="G402" s="107">
        <f t="shared" si="13"/>
        <v>122219</v>
      </c>
      <c r="H402" s="108">
        <f t="shared" si="14"/>
        <v>0</v>
      </c>
    </row>
    <row r="403" spans="4:8" ht="15">
      <c r="D403" s="196">
        <v>25319</v>
      </c>
      <c r="E403" s="196" t="s">
        <v>77</v>
      </c>
      <c r="F403" s="200">
        <v>24519</v>
      </c>
      <c r="G403" s="107">
        <f t="shared" si="13"/>
        <v>24519</v>
      </c>
      <c r="H403" s="108">
        <f t="shared" si="14"/>
        <v>0</v>
      </c>
    </row>
    <row r="404" spans="4:8" ht="15">
      <c r="D404" s="196">
        <v>29087</v>
      </c>
      <c r="E404" s="196" t="s">
        <v>78</v>
      </c>
      <c r="F404" s="200">
        <v>245047</v>
      </c>
      <c r="G404" s="107">
        <f t="shared" si="13"/>
        <v>245047</v>
      </c>
      <c r="H404" s="108">
        <f t="shared" si="14"/>
        <v>0</v>
      </c>
    </row>
    <row r="405" spans="4:8" ht="15">
      <c r="D405" s="196">
        <v>3060</v>
      </c>
      <c r="E405" s="196" t="s">
        <v>79</v>
      </c>
      <c r="F405" s="200">
        <v>142374</v>
      </c>
      <c r="G405" s="107">
        <f t="shared" si="13"/>
        <v>142374</v>
      </c>
      <c r="H405" s="108">
        <f t="shared" si="14"/>
        <v>0</v>
      </c>
    </row>
    <row r="406" spans="4:8" ht="15">
      <c r="D406" s="196">
        <v>19301</v>
      </c>
      <c r="E406" s="196" t="s">
        <v>80</v>
      </c>
      <c r="F406" s="200">
        <v>28023</v>
      </c>
      <c r="G406" s="107">
        <f t="shared" si="13"/>
        <v>28023</v>
      </c>
      <c r="H406" s="108">
        <f t="shared" si="14"/>
        <v>0</v>
      </c>
    </row>
    <row r="407" spans="4:8" ht="15">
      <c r="D407" s="196">
        <v>19059</v>
      </c>
      <c r="E407" s="196" t="s">
        <v>81</v>
      </c>
      <c r="F407" s="200">
        <v>896118</v>
      </c>
      <c r="G407" s="107">
        <f t="shared" si="13"/>
        <v>896118</v>
      </c>
      <c r="H407" s="108">
        <f t="shared" si="14"/>
        <v>0</v>
      </c>
    </row>
    <row r="408" spans="4:8" ht="15">
      <c r="D408" s="196">
        <v>18057</v>
      </c>
      <c r="E408" s="196" t="s">
        <v>82</v>
      </c>
      <c r="F408" s="200">
        <v>37980</v>
      </c>
      <c r="G408" s="107">
        <f t="shared" si="13"/>
        <v>37980</v>
      </c>
      <c r="H408" s="108">
        <f t="shared" si="14"/>
        <v>0</v>
      </c>
    </row>
    <row r="409" spans="4:8" ht="15">
      <c r="D409" s="196">
        <v>4008</v>
      </c>
      <c r="E409" s="196" t="s">
        <v>83</v>
      </c>
      <c r="F409" s="200">
        <v>149824</v>
      </c>
      <c r="G409" s="107">
        <f t="shared" si="13"/>
        <v>149824</v>
      </c>
      <c r="H409" s="108">
        <f t="shared" si="14"/>
        <v>0</v>
      </c>
    </row>
    <row r="410" spans="4:8" ht="15">
      <c r="D410" s="196">
        <v>2350</v>
      </c>
      <c r="E410" s="196" t="s">
        <v>84</v>
      </c>
      <c r="F410" s="200">
        <v>49318</v>
      </c>
      <c r="G410" s="107">
        <f t="shared" si="13"/>
        <v>49318</v>
      </c>
      <c r="H410" s="108">
        <f t="shared" si="14"/>
        <v>0</v>
      </c>
    </row>
    <row r="411" spans="4:8" ht="15">
      <c r="D411" s="196">
        <v>11117</v>
      </c>
      <c r="E411" s="196" t="s">
        <v>85</v>
      </c>
      <c r="F411" s="200">
        <v>47180</v>
      </c>
      <c r="G411" s="107">
        <f t="shared" si="13"/>
        <v>47180</v>
      </c>
      <c r="H411" s="108">
        <f t="shared" si="14"/>
        <v>0</v>
      </c>
    </row>
    <row r="412" spans="4:8" ht="15">
      <c r="D412" s="196">
        <v>16359</v>
      </c>
      <c r="E412" s="196" t="s">
        <v>86</v>
      </c>
      <c r="F412" s="200">
        <v>10251</v>
      </c>
      <c r="G412" s="107">
        <f t="shared" si="13"/>
        <v>10251</v>
      </c>
      <c r="H412" s="108">
        <f t="shared" si="14"/>
        <v>0</v>
      </c>
    </row>
    <row r="413" spans="4:8" ht="15">
      <c r="D413" s="196">
        <v>17115</v>
      </c>
      <c r="E413" s="196" t="s">
        <v>87</v>
      </c>
      <c r="F413" s="200">
        <v>182311</v>
      </c>
      <c r="G413" s="107">
        <f t="shared" si="13"/>
        <v>182311</v>
      </c>
      <c r="H413" s="108">
        <f t="shared" si="14"/>
        <v>0</v>
      </c>
    </row>
    <row r="414" spans="4:8" ht="15">
      <c r="D414" s="196">
        <v>32117</v>
      </c>
      <c r="E414" s="196" t="s">
        <v>88</v>
      </c>
      <c r="F414" s="200">
        <v>14595</v>
      </c>
      <c r="G414" s="107">
        <f t="shared" si="13"/>
        <v>14595</v>
      </c>
      <c r="H414" s="108">
        <f t="shared" si="14"/>
        <v>0</v>
      </c>
    </row>
    <row r="415" spans="4:8" ht="15">
      <c r="D415" s="196">
        <v>2304</v>
      </c>
      <c r="E415" s="196" t="s">
        <v>89</v>
      </c>
      <c r="F415" s="200">
        <v>64587</v>
      </c>
      <c r="G415" s="107">
        <f t="shared" si="13"/>
        <v>64587</v>
      </c>
      <c r="H415" s="108">
        <f t="shared" si="14"/>
        <v>0</v>
      </c>
    </row>
    <row r="416" spans="4:8" ht="15">
      <c r="D416" s="196">
        <v>11101</v>
      </c>
      <c r="E416" s="196" t="s">
        <v>91</v>
      </c>
      <c r="F416" s="200">
        <v>745644</v>
      </c>
      <c r="G416" s="107">
        <f t="shared" si="13"/>
        <v>745644</v>
      </c>
      <c r="H416" s="108">
        <f t="shared" si="14"/>
        <v>0</v>
      </c>
    </row>
    <row r="417" spans="4:8" ht="15">
      <c r="D417" s="196">
        <v>11102</v>
      </c>
      <c r="E417" s="196" t="s">
        <v>90</v>
      </c>
      <c r="F417" s="200">
        <v>259029</v>
      </c>
      <c r="G417" s="107">
        <f t="shared" si="13"/>
        <v>259029</v>
      </c>
      <c r="H417" s="108">
        <f t="shared" si="14"/>
        <v>0</v>
      </c>
    </row>
    <row r="418" spans="4:8" ht="15">
      <c r="D418" s="196">
        <v>3100</v>
      </c>
      <c r="E418" s="196" t="s">
        <v>92</v>
      </c>
      <c r="F418" s="200">
        <v>530191</v>
      </c>
      <c r="G418" s="107">
        <f t="shared" si="13"/>
        <v>530191</v>
      </c>
      <c r="H418" s="108">
        <f t="shared" si="14"/>
        <v>0</v>
      </c>
    </row>
    <row r="419" spans="4:8" ht="15">
      <c r="D419" s="196">
        <v>2323</v>
      </c>
      <c r="E419" s="196" t="s">
        <v>93</v>
      </c>
      <c r="F419" s="200">
        <v>52366</v>
      </c>
      <c r="G419" s="107">
        <f t="shared" si="13"/>
        <v>52366</v>
      </c>
      <c r="H419" s="108">
        <f t="shared" si="14"/>
        <v>0</v>
      </c>
    </row>
    <row r="420" spans="4:8" ht="15">
      <c r="D420" s="196">
        <v>11034</v>
      </c>
      <c r="E420" s="196" t="s">
        <v>94</v>
      </c>
      <c r="F420" s="200">
        <v>40615</v>
      </c>
      <c r="G420" s="107">
        <f t="shared" si="13"/>
        <v>40615</v>
      </c>
      <c r="H420" s="108">
        <f t="shared" si="14"/>
        <v>0</v>
      </c>
    </row>
    <row r="421" spans="4:8" ht="15">
      <c r="D421" s="196">
        <v>17054</v>
      </c>
      <c r="E421" s="196" t="s">
        <v>95</v>
      </c>
      <c r="F421" s="200">
        <v>545339</v>
      </c>
      <c r="G421" s="107">
        <f t="shared" si="13"/>
        <v>545339</v>
      </c>
      <c r="H421" s="108">
        <f t="shared" si="14"/>
        <v>0</v>
      </c>
    </row>
    <row r="422" spans="4:8" ht="15">
      <c r="D422" s="196">
        <v>22065</v>
      </c>
      <c r="E422" s="196" t="s">
        <v>96</v>
      </c>
      <c r="F422" s="200">
        <v>139448</v>
      </c>
      <c r="G422" s="107">
        <f t="shared" si="13"/>
        <v>139448</v>
      </c>
      <c r="H422" s="108">
        <f t="shared" si="14"/>
        <v>0</v>
      </c>
    </row>
    <row r="423" spans="4:8" ht="15">
      <c r="D423" s="196">
        <v>22201</v>
      </c>
      <c r="E423" s="199" t="s">
        <v>97</v>
      </c>
      <c r="F423" s="200">
        <v>81884</v>
      </c>
      <c r="G423" s="107">
        <f t="shared" si="13"/>
        <v>81884</v>
      </c>
      <c r="H423" s="108">
        <f t="shared" si="14"/>
        <v>0</v>
      </c>
    </row>
    <row r="424" spans="4:8" ht="15">
      <c r="D424" s="196">
        <v>6016</v>
      </c>
      <c r="E424" s="196" t="s">
        <v>98</v>
      </c>
      <c r="F424" s="200">
        <v>133949</v>
      </c>
      <c r="G424" s="107">
        <f t="shared" si="13"/>
        <v>133949</v>
      </c>
      <c r="H424" s="108">
        <f t="shared" si="14"/>
        <v>0</v>
      </c>
    </row>
    <row r="425" spans="4:8" ht="15">
      <c r="D425" s="196">
        <v>2432</v>
      </c>
      <c r="E425" s="196" t="s">
        <v>99</v>
      </c>
      <c r="F425" s="200">
        <v>212886</v>
      </c>
      <c r="G425" s="107">
        <f t="shared" si="13"/>
        <v>212886</v>
      </c>
      <c r="H425" s="108">
        <f t="shared" si="14"/>
        <v>0</v>
      </c>
    </row>
    <row r="426" spans="4:8" ht="15">
      <c r="D426" s="196">
        <v>7440</v>
      </c>
      <c r="E426" s="196" t="s">
        <v>428</v>
      </c>
      <c r="F426" s="200">
        <v>48074</v>
      </c>
      <c r="G426" s="107">
        <f t="shared" si="13"/>
        <v>48074</v>
      </c>
      <c r="H426" s="108">
        <f t="shared" si="14"/>
        <v>0</v>
      </c>
    </row>
    <row r="427" spans="4:8" ht="15">
      <c r="D427" s="5">
        <v>29125</v>
      </c>
      <c r="E427" s="196" t="s">
        <v>454</v>
      </c>
      <c r="F427" s="200">
        <v>32919</v>
      </c>
      <c r="G427" s="107">
        <f t="shared" si="13"/>
        <v>32919</v>
      </c>
      <c r="H427" s="108">
        <f t="shared" si="14"/>
        <v>0</v>
      </c>
    </row>
    <row r="428" spans="4:8" ht="15">
      <c r="D428" s="196">
        <v>16052</v>
      </c>
      <c r="E428" s="196" t="s">
        <v>100</v>
      </c>
      <c r="F428" s="200">
        <v>1679563</v>
      </c>
      <c r="G428" s="107">
        <f t="shared" si="13"/>
        <v>1679563</v>
      </c>
      <c r="H428" s="108">
        <f t="shared" si="14"/>
        <v>0</v>
      </c>
    </row>
    <row r="429" spans="4:8" ht="15">
      <c r="D429" s="196">
        <v>11118</v>
      </c>
      <c r="E429" s="196" t="s">
        <v>101</v>
      </c>
      <c r="F429" s="200">
        <v>45706</v>
      </c>
      <c r="G429" s="107">
        <f t="shared" si="13"/>
        <v>45706</v>
      </c>
      <c r="H429" s="108">
        <f t="shared" si="14"/>
        <v>0</v>
      </c>
    </row>
    <row r="430" spans="4:8" ht="15">
      <c r="D430" s="196">
        <v>27083</v>
      </c>
      <c r="E430" s="196" t="s">
        <v>102</v>
      </c>
      <c r="F430" s="200">
        <v>61087</v>
      </c>
      <c r="G430" s="107">
        <f t="shared" si="13"/>
        <v>61087</v>
      </c>
      <c r="H430" s="108">
        <f t="shared" si="14"/>
        <v>0</v>
      </c>
    </row>
    <row r="431" spans="4:8" ht="15">
      <c r="D431" s="196">
        <v>7021</v>
      </c>
      <c r="E431" s="196" t="s">
        <v>103</v>
      </c>
      <c r="F431" s="200">
        <v>2219111</v>
      </c>
      <c r="G431" s="107">
        <f t="shared" si="13"/>
        <v>2219111</v>
      </c>
      <c r="H431" s="108">
        <f t="shared" si="14"/>
        <v>0</v>
      </c>
    </row>
    <row r="432" spans="4:8" ht="15">
      <c r="D432" s="196">
        <v>4140</v>
      </c>
      <c r="E432" s="196" t="s">
        <v>104</v>
      </c>
      <c r="F432" s="200">
        <v>15055</v>
      </c>
      <c r="G432" s="107">
        <f t="shared" si="13"/>
        <v>15055</v>
      </c>
      <c r="H432" s="108">
        <f t="shared" si="14"/>
        <v>0</v>
      </c>
    </row>
    <row r="433" spans="4:8" ht="15">
      <c r="D433" s="196">
        <v>13041</v>
      </c>
      <c r="E433" s="196" t="s">
        <v>105</v>
      </c>
      <c r="F433" s="200">
        <v>2043639</v>
      </c>
      <c r="G433" s="107">
        <f t="shared" si="13"/>
        <v>2043639</v>
      </c>
      <c r="H433" s="108">
        <f t="shared" si="14"/>
        <v>0</v>
      </c>
    </row>
    <row r="434" spans="4:8" ht="15">
      <c r="D434" s="196">
        <v>2339</v>
      </c>
      <c r="E434" s="196" t="s">
        <v>106</v>
      </c>
      <c r="F434" s="200">
        <v>30031</v>
      </c>
      <c r="G434" s="107">
        <f t="shared" si="13"/>
        <v>30031</v>
      </c>
      <c r="H434" s="108">
        <f t="shared" si="14"/>
        <v>0</v>
      </c>
    </row>
    <row r="435" spans="4:8" ht="15">
      <c r="D435" s="196">
        <v>2362</v>
      </c>
      <c r="E435" s="196" t="s">
        <v>107</v>
      </c>
      <c r="F435" s="200">
        <v>33460</v>
      </c>
      <c r="G435" s="107">
        <f t="shared" si="13"/>
        <v>33460</v>
      </c>
      <c r="H435" s="108">
        <f t="shared" si="14"/>
        <v>0</v>
      </c>
    </row>
    <row r="436" spans="4:8" ht="15">
      <c r="D436" s="196">
        <v>5013</v>
      </c>
      <c r="E436" s="196" t="s">
        <v>108</v>
      </c>
      <c r="F436" s="200">
        <v>36064</v>
      </c>
      <c r="G436" s="107">
        <f t="shared" si="13"/>
        <v>36064</v>
      </c>
      <c r="H436" s="108">
        <f t="shared" si="14"/>
        <v>0</v>
      </c>
    </row>
    <row r="437" spans="4:8" ht="15">
      <c r="D437" s="196">
        <v>3110</v>
      </c>
      <c r="E437" s="196" t="s">
        <v>109</v>
      </c>
      <c r="F437" s="200">
        <v>159124</v>
      </c>
      <c r="G437" s="107">
        <f t="shared" si="13"/>
        <v>159124</v>
      </c>
      <c r="H437" s="108">
        <f t="shared" si="14"/>
        <v>0</v>
      </c>
    </row>
    <row r="438" spans="4:8" ht="15">
      <c r="D438" s="196">
        <v>14044</v>
      </c>
      <c r="E438" s="196" t="s">
        <v>110</v>
      </c>
      <c r="F438" s="200">
        <v>619311</v>
      </c>
      <c r="G438" s="107">
        <f t="shared" si="13"/>
        <v>619311</v>
      </c>
      <c r="H438" s="108">
        <f t="shared" si="14"/>
        <v>0</v>
      </c>
    </row>
    <row r="439" spans="4:8" ht="15">
      <c r="D439" s="196">
        <v>4009</v>
      </c>
      <c r="E439" s="196" t="s">
        <v>111</v>
      </c>
      <c r="F439" s="200">
        <v>81672</v>
      </c>
      <c r="G439" s="107">
        <f t="shared" si="13"/>
        <v>81672</v>
      </c>
      <c r="H439" s="108">
        <f t="shared" si="14"/>
        <v>0</v>
      </c>
    </row>
    <row r="440" spans="4:8" ht="15">
      <c r="D440" s="196">
        <v>7022</v>
      </c>
      <c r="E440" s="196" t="s">
        <v>112</v>
      </c>
      <c r="F440" s="200">
        <v>231009</v>
      </c>
      <c r="G440" s="107">
        <f t="shared" si="13"/>
        <v>231009</v>
      </c>
      <c r="H440" s="108">
        <f t="shared" si="14"/>
        <v>0</v>
      </c>
    </row>
    <row r="441" spans="4:8" ht="15">
      <c r="D441" s="196">
        <v>2430</v>
      </c>
      <c r="E441" s="196" t="s">
        <v>113</v>
      </c>
      <c r="F441" s="200">
        <v>29787</v>
      </c>
      <c r="G441" s="107">
        <f t="shared" si="13"/>
        <v>29787</v>
      </c>
      <c r="H441" s="108">
        <f t="shared" si="14"/>
        <v>0</v>
      </c>
    </row>
    <row r="442" spans="4:8" ht="15">
      <c r="D442" s="196">
        <v>9150</v>
      </c>
      <c r="E442" s="196" t="s">
        <v>114</v>
      </c>
      <c r="F442" s="200">
        <v>16705</v>
      </c>
      <c r="G442" s="107">
        <f t="shared" si="13"/>
        <v>16705</v>
      </c>
      <c r="H442" s="108">
        <f t="shared" si="14"/>
        <v>0</v>
      </c>
    </row>
    <row r="443" spans="4:8" ht="15">
      <c r="D443" s="196">
        <v>6017</v>
      </c>
      <c r="E443" s="196" t="s">
        <v>115</v>
      </c>
      <c r="F443" s="200">
        <v>1601183</v>
      </c>
      <c r="G443" s="107">
        <f t="shared" si="13"/>
        <v>1601183</v>
      </c>
      <c r="H443" s="108">
        <f t="shared" si="14"/>
        <v>0</v>
      </c>
    </row>
    <row r="444" spans="4:8" ht="15">
      <c r="D444" s="196">
        <v>26080</v>
      </c>
      <c r="E444" s="198" t="s">
        <v>116</v>
      </c>
      <c r="F444" s="200">
        <v>47414</v>
      </c>
      <c r="G444" s="107">
        <f t="shared" si="13"/>
        <v>47414</v>
      </c>
      <c r="H444" s="108">
        <f t="shared" si="14"/>
        <v>0</v>
      </c>
    </row>
    <row r="445" spans="4:8" ht="15">
      <c r="D445" s="196">
        <v>2327</v>
      </c>
      <c r="E445" s="196" t="s">
        <v>117</v>
      </c>
      <c r="F445" s="200">
        <v>59232</v>
      </c>
      <c r="G445" s="107">
        <f t="shared" si="13"/>
        <v>59232</v>
      </c>
      <c r="H445" s="108">
        <f t="shared" si="14"/>
        <v>0</v>
      </c>
    </row>
    <row r="446" spans="4:8" ht="15">
      <c r="D446" s="196">
        <v>10119</v>
      </c>
      <c r="E446" s="196" t="s">
        <v>118</v>
      </c>
      <c r="F446" s="200">
        <v>27225</v>
      </c>
      <c r="G446" s="107">
        <f t="shared" si="13"/>
        <v>27225</v>
      </c>
      <c r="H446" s="108">
        <f t="shared" si="14"/>
        <v>0</v>
      </c>
    </row>
    <row r="447" spans="4:8" ht="15">
      <c r="D447" s="196">
        <v>573</v>
      </c>
      <c r="E447" s="196" t="s">
        <v>394</v>
      </c>
      <c r="F447" s="200">
        <v>139317</v>
      </c>
      <c r="G447" s="107">
        <f t="shared" si="13"/>
        <v>139317</v>
      </c>
      <c r="H447" s="108">
        <f t="shared" si="14"/>
        <v>0</v>
      </c>
    </row>
    <row r="448" spans="4:8" ht="15">
      <c r="D448" s="196">
        <v>2368</v>
      </c>
      <c r="E448" s="196" t="s">
        <v>119</v>
      </c>
      <c r="F448" s="200">
        <v>57335</v>
      </c>
      <c r="G448" s="107">
        <f t="shared" si="13"/>
        <v>57335</v>
      </c>
      <c r="H448" s="108">
        <f t="shared" si="14"/>
        <v>0</v>
      </c>
    </row>
    <row r="449" spans="4:8" ht="15">
      <c r="D449" s="196">
        <v>7420</v>
      </c>
      <c r="E449" s="196" t="s">
        <v>120</v>
      </c>
      <c r="F449" s="200">
        <v>34442</v>
      </c>
      <c r="G449" s="107">
        <f t="shared" si="13"/>
        <v>34442</v>
      </c>
      <c r="H449" s="108">
        <f t="shared" si="14"/>
        <v>0</v>
      </c>
    </row>
    <row r="450" spans="4:8" ht="15">
      <c r="D450" s="196">
        <v>6018</v>
      </c>
      <c r="E450" s="196" t="s">
        <v>121</v>
      </c>
      <c r="F450" s="200">
        <v>116952</v>
      </c>
      <c r="G450" s="107">
        <f t="shared" si="13"/>
        <v>116952</v>
      </c>
      <c r="H450" s="108">
        <f t="shared" si="14"/>
        <v>0</v>
      </c>
    </row>
    <row r="451" spans="4:8" ht="15">
      <c r="D451" s="196">
        <v>3321</v>
      </c>
      <c r="E451" s="196" t="s">
        <v>122</v>
      </c>
      <c r="F451" s="200">
        <v>34845</v>
      </c>
      <c r="G451" s="107">
        <f t="shared" si="13"/>
        <v>34845</v>
      </c>
      <c r="H451" s="108">
        <f t="shared" si="14"/>
        <v>0</v>
      </c>
    </row>
    <row r="452" spans="4:8" ht="15">
      <c r="D452" s="196">
        <v>29122</v>
      </c>
      <c r="E452" s="196" t="s">
        <v>123</v>
      </c>
      <c r="F452" s="200">
        <v>45044</v>
      </c>
      <c r="G452" s="107">
        <f t="shared" si="13"/>
        <v>45044</v>
      </c>
      <c r="H452" s="108">
        <f t="shared" si="14"/>
        <v>0</v>
      </c>
    </row>
    <row r="453" spans="4:8" ht="15">
      <c r="D453" s="196">
        <v>29088</v>
      </c>
      <c r="E453" s="196" t="s">
        <v>124</v>
      </c>
      <c r="F453" s="200">
        <v>67305</v>
      </c>
      <c r="G453" s="107">
        <f t="shared" ref="G453:G516" si="15">VLOOKUP(D453,$A$9:$C$314,3,FALSE)</f>
        <v>67305</v>
      </c>
      <c r="H453" s="108">
        <f t="shared" si="14"/>
        <v>0</v>
      </c>
    </row>
    <row r="454" spans="4:8" ht="15">
      <c r="D454" s="196">
        <v>7337</v>
      </c>
      <c r="E454" s="196" t="s">
        <v>125</v>
      </c>
      <c r="F454" s="200">
        <v>13352</v>
      </c>
      <c r="G454" s="107">
        <f t="shared" si="15"/>
        <v>13352</v>
      </c>
      <c r="H454" s="108">
        <f t="shared" ref="H454:H517" si="16">+F454-G454</f>
        <v>0</v>
      </c>
    </row>
    <row r="455" spans="4:8" ht="15">
      <c r="D455" s="196">
        <v>2329</v>
      </c>
      <c r="E455" s="198" t="s">
        <v>126</v>
      </c>
      <c r="F455" s="200">
        <v>45591</v>
      </c>
      <c r="G455" s="107">
        <f t="shared" si="15"/>
        <v>45591</v>
      </c>
      <c r="H455" s="108">
        <f t="shared" si="16"/>
        <v>0</v>
      </c>
    </row>
    <row r="456" spans="4:8" ht="15">
      <c r="D456" s="196">
        <v>4010</v>
      </c>
      <c r="E456" s="196" t="s">
        <v>129</v>
      </c>
      <c r="F456" s="200">
        <v>37816</v>
      </c>
      <c r="G456" s="107">
        <f t="shared" si="15"/>
        <v>37816</v>
      </c>
      <c r="H456" s="108">
        <f t="shared" si="16"/>
        <v>0</v>
      </c>
    </row>
    <row r="457" spans="4:8" ht="15">
      <c r="D457" s="196">
        <v>7023</v>
      </c>
      <c r="E457" s="196" t="s">
        <v>410</v>
      </c>
      <c r="F457" s="200">
        <v>4206257</v>
      </c>
      <c r="G457" s="107">
        <f t="shared" si="15"/>
        <v>4206257</v>
      </c>
      <c r="H457" s="108">
        <f t="shared" si="16"/>
        <v>0</v>
      </c>
    </row>
    <row r="458" spans="4:8" ht="15">
      <c r="D458" s="196">
        <v>7338</v>
      </c>
      <c r="E458" s="196" t="s">
        <v>131</v>
      </c>
      <c r="F458" s="200">
        <v>30822</v>
      </c>
      <c r="G458" s="107">
        <f t="shared" si="15"/>
        <v>30822</v>
      </c>
      <c r="H458" s="108">
        <f t="shared" si="16"/>
        <v>0</v>
      </c>
    </row>
    <row r="459" spans="4:8" ht="15">
      <c r="D459" s="196">
        <v>12037</v>
      </c>
      <c r="E459" s="196" t="s">
        <v>132</v>
      </c>
      <c r="F459" s="200">
        <v>245347</v>
      </c>
      <c r="G459" s="107">
        <f t="shared" si="15"/>
        <v>245347</v>
      </c>
      <c r="H459" s="108">
        <f t="shared" si="16"/>
        <v>0</v>
      </c>
    </row>
    <row r="460" spans="4:8" ht="15">
      <c r="D460" s="196">
        <v>3150</v>
      </c>
      <c r="E460" s="196" t="s">
        <v>133</v>
      </c>
      <c r="F460" s="200">
        <v>551424</v>
      </c>
      <c r="G460" s="107">
        <f t="shared" si="15"/>
        <v>551424</v>
      </c>
      <c r="H460" s="108">
        <f t="shared" si="16"/>
        <v>0</v>
      </c>
    </row>
    <row r="461" spans="4:8" ht="15">
      <c r="D461" s="196">
        <v>3160</v>
      </c>
      <c r="E461" s="196" t="s">
        <v>134</v>
      </c>
      <c r="F461" s="200">
        <v>117995</v>
      </c>
      <c r="G461" s="107">
        <f t="shared" si="15"/>
        <v>117995</v>
      </c>
      <c r="H461" s="108">
        <f t="shared" si="16"/>
        <v>0</v>
      </c>
    </row>
    <row r="462" spans="4:8" ht="15">
      <c r="D462" s="196">
        <v>10120</v>
      </c>
      <c r="E462" s="196" t="s">
        <v>135</v>
      </c>
      <c r="F462" s="200">
        <v>57587</v>
      </c>
      <c r="G462" s="107">
        <f t="shared" si="15"/>
        <v>57587</v>
      </c>
      <c r="H462" s="108">
        <f t="shared" si="16"/>
        <v>0</v>
      </c>
    </row>
    <row r="463" spans="4:8" ht="15">
      <c r="D463" s="196">
        <v>23070</v>
      </c>
      <c r="E463" s="196" t="s">
        <v>136</v>
      </c>
      <c r="F463" s="200">
        <v>85337</v>
      </c>
      <c r="G463" s="107">
        <f t="shared" si="15"/>
        <v>85337</v>
      </c>
      <c r="H463" s="108">
        <f t="shared" si="16"/>
        <v>0</v>
      </c>
    </row>
    <row r="464" spans="4:8" ht="15">
      <c r="D464" s="196">
        <v>3170</v>
      </c>
      <c r="E464" s="196" t="s">
        <v>137</v>
      </c>
      <c r="F464" s="200">
        <v>1270705</v>
      </c>
      <c r="G464" s="107">
        <f t="shared" si="15"/>
        <v>1270705</v>
      </c>
      <c r="H464" s="108">
        <f t="shared" si="16"/>
        <v>0</v>
      </c>
    </row>
    <row r="465" spans="4:8" ht="15">
      <c r="D465" s="196">
        <v>32093</v>
      </c>
      <c r="E465" s="196" t="s">
        <v>138</v>
      </c>
      <c r="F465" s="200">
        <v>773102</v>
      </c>
      <c r="G465" s="107">
        <f t="shared" si="15"/>
        <v>773102</v>
      </c>
      <c r="H465" s="108">
        <f t="shared" si="16"/>
        <v>0</v>
      </c>
    </row>
    <row r="466" spans="4:8" ht="15">
      <c r="D466" s="196">
        <v>14045</v>
      </c>
      <c r="E466" s="196" t="s">
        <v>139</v>
      </c>
      <c r="F466" s="200">
        <v>1458267</v>
      </c>
      <c r="G466" s="107">
        <f t="shared" si="15"/>
        <v>1458267</v>
      </c>
      <c r="H466" s="108">
        <f t="shared" si="16"/>
        <v>0</v>
      </c>
    </row>
    <row r="467" spans="4:8" ht="15">
      <c r="D467" s="196">
        <v>2322</v>
      </c>
      <c r="E467" s="196" t="s">
        <v>140</v>
      </c>
      <c r="F467" s="200">
        <v>26101</v>
      </c>
      <c r="G467" s="107">
        <f t="shared" si="15"/>
        <v>26101</v>
      </c>
      <c r="H467" s="108">
        <f t="shared" si="16"/>
        <v>0</v>
      </c>
    </row>
    <row r="468" spans="4:8" ht="15">
      <c r="D468" s="196">
        <v>3006</v>
      </c>
      <c r="E468" s="196" t="s">
        <v>141</v>
      </c>
      <c r="F468" s="200">
        <v>114247</v>
      </c>
      <c r="G468" s="107">
        <f t="shared" si="15"/>
        <v>114247</v>
      </c>
      <c r="H468" s="108">
        <f t="shared" si="16"/>
        <v>0</v>
      </c>
    </row>
    <row r="469" spans="4:8" ht="15">
      <c r="D469" s="196">
        <v>6019</v>
      </c>
      <c r="E469" s="196" t="s">
        <v>142</v>
      </c>
      <c r="F469" s="200">
        <v>611274</v>
      </c>
      <c r="G469" s="107">
        <f t="shared" si="15"/>
        <v>611274</v>
      </c>
      <c r="H469" s="108">
        <f t="shared" si="16"/>
        <v>0</v>
      </c>
    </row>
    <row r="470" spans="4:8" ht="15">
      <c r="D470" s="196">
        <v>12128</v>
      </c>
      <c r="E470" s="196" t="s">
        <v>143</v>
      </c>
      <c r="F470" s="200">
        <v>117849</v>
      </c>
      <c r="G470" s="107">
        <f t="shared" si="15"/>
        <v>117849</v>
      </c>
      <c r="H470" s="108">
        <f t="shared" si="16"/>
        <v>0</v>
      </c>
    </row>
    <row r="471" spans="4:8" ht="15">
      <c r="D471" s="196">
        <v>3180</v>
      </c>
      <c r="E471" s="198" t="s">
        <v>144</v>
      </c>
      <c r="F471" s="200">
        <v>218590</v>
      </c>
      <c r="G471" s="107">
        <f t="shared" si="15"/>
        <v>218590</v>
      </c>
      <c r="H471" s="108">
        <f t="shared" si="16"/>
        <v>0</v>
      </c>
    </row>
    <row r="472" spans="4:8" ht="15">
      <c r="D472" s="196">
        <v>25075</v>
      </c>
      <c r="E472" s="196" t="s">
        <v>145</v>
      </c>
      <c r="F472" s="200">
        <v>95664</v>
      </c>
      <c r="G472" s="107">
        <f t="shared" si="15"/>
        <v>95664</v>
      </c>
      <c r="H472" s="108">
        <f t="shared" si="16"/>
        <v>0</v>
      </c>
    </row>
    <row r="473" spans="4:8" ht="15">
      <c r="D473" s="196">
        <v>2311</v>
      </c>
      <c r="E473" s="196" t="s">
        <v>411</v>
      </c>
      <c r="F473" s="200">
        <v>39408</v>
      </c>
      <c r="G473" s="107">
        <f t="shared" si="15"/>
        <v>39408</v>
      </c>
      <c r="H473" s="108">
        <f t="shared" si="16"/>
        <v>0</v>
      </c>
    </row>
    <row r="474" spans="4:8" ht="15">
      <c r="D474" s="196">
        <v>9028</v>
      </c>
      <c r="E474" s="196" t="s">
        <v>146</v>
      </c>
      <c r="F474" s="200">
        <v>32415</v>
      </c>
      <c r="G474" s="107">
        <f t="shared" si="15"/>
        <v>32415</v>
      </c>
      <c r="H474" s="108">
        <f t="shared" si="16"/>
        <v>0</v>
      </c>
    </row>
    <row r="475" spans="4:8" ht="15">
      <c r="D475" s="196">
        <v>17424</v>
      </c>
      <c r="E475" s="196" t="s">
        <v>147</v>
      </c>
      <c r="F475" s="200">
        <v>69313</v>
      </c>
      <c r="G475" s="107">
        <f t="shared" si="15"/>
        <v>69313</v>
      </c>
      <c r="H475" s="108">
        <f t="shared" si="16"/>
        <v>0</v>
      </c>
    </row>
    <row r="476" spans="4:8" ht="15">
      <c r="D476" s="196">
        <v>3200</v>
      </c>
      <c r="E476" s="196" t="s">
        <v>148</v>
      </c>
      <c r="F476" s="200">
        <v>226692</v>
      </c>
      <c r="G476" s="107">
        <f t="shared" si="15"/>
        <v>226692</v>
      </c>
      <c r="H476" s="108">
        <f t="shared" si="16"/>
        <v>0</v>
      </c>
    </row>
    <row r="477" spans="4:8" ht="15">
      <c r="D477" s="196">
        <v>2365</v>
      </c>
      <c r="E477" s="196" t="s">
        <v>149</v>
      </c>
      <c r="F477" s="200">
        <v>26966</v>
      </c>
      <c r="G477" s="107">
        <f t="shared" si="15"/>
        <v>26966</v>
      </c>
      <c r="H477" s="108">
        <f t="shared" si="16"/>
        <v>0</v>
      </c>
    </row>
    <row r="478" spans="4:8" ht="15">
      <c r="D478" s="196">
        <v>5014</v>
      </c>
      <c r="E478" s="196" t="s">
        <v>150</v>
      </c>
      <c r="F478" s="200">
        <v>48924</v>
      </c>
      <c r="G478" s="107">
        <f t="shared" si="15"/>
        <v>48924</v>
      </c>
      <c r="H478" s="108">
        <f t="shared" si="16"/>
        <v>0</v>
      </c>
    </row>
    <row r="479" spans="4:8" ht="15">
      <c r="D479" s="196">
        <v>17127</v>
      </c>
      <c r="E479" s="196" t="s">
        <v>151</v>
      </c>
      <c r="F479" s="200">
        <v>55317</v>
      </c>
      <c r="G479" s="107">
        <f t="shared" si="15"/>
        <v>55317</v>
      </c>
      <c r="H479" s="108">
        <f t="shared" si="16"/>
        <v>0</v>
      </c>
    </row>
    <row r="480" spans="4:8" ht="15">
      <c r="D480" s="196">
        <v>10141</v>
      </c>
      <c r="E480" s="198" t="s">
        <v>152</v>
      </c>
      <c r="F480" s="200">
        <v>71155</v>
      </c>
      <c r="G480" s="107">
        <f t="shared" si="15"/>
        <v>71155</v>
      </c>
      <c r="H480" s="108">
        <f t="shared" si="16"/>
        <v>0</v>
      </c>
    </row>
    <row r="481" spans="4:8" ht="15">
      <c r="D481" s="196">
        <v>13369</v>
      </c>
      <c r="E481" s="196" t="s">
        <v>153</v>
      </c>
      <c r="F481" s="200">
        <v>18059</v>
      </c>
      <c r="G481" s="107">
        <f t="shared" si="15"/>
        <v>18059</v>
      </c>
      <c r="H481" s="108">
        <f t="shared" si="16"/>
        <v>0</v>
      </c>
    </row>
    <row r="482" spans="4:8" ht="15">
      <c r="D482" s="196">
        <v>4570</v>
      </c>
      <c r="E482" s="196" t="s">
        <v>395</v>
      </c>
      <c r="F482" s="200">
        <v>193245</v>
      </c>
      <c r="G482" s="107">
        <f t="shared" si="15"/>
        <v>193245</v>
      </c>
      <c r="H482" s="108">
        <f t="shared" si="16"/>
        <v>0</v>
      </c>
    </row>
    <row r="483" spans="4:8" ht="15">
      <c r="D483" s="196">
        <v>2425</v>
      </c>
      <c r="E483" s="196" t="s">
        <v>154</v>
      </c>
      <c r="F483" s="200">
        <v>321573</v>
      </c>
      <c r="G483" s="107">
        <f t="shared" si="15"/>
        <v>321573</v>
      </c>
      <c r="H483" s="108">
        <f t="shared" si="16"/>
        <v>0</v>
      </c>
    </row>
    <row r="484" spans="4:8" ht="15">
      <c r="D484" s="196">
        <v>1306</v>
      </c>
      <c r="E484" s="196" t="s">
        <v>155</v>
      </c>
      <c r="F484" s="200">
        <v>54451</v>
      </c>
      <c r="G484" s="107">
        <f t="shared" si="15"/>
        <v>54451</v>
      </c>
      <c r="H484" s="108">
        <f t="shared" si="16"/>
        <v>0</v>
      </c>
    </row>
    <row r="485" spans="4:8" ht="15">
      <c r="D485" s="196">
        <v>2351</v>
      </c>
      <c r="E485" s="196" t="s">
        <v>156</v>
      </c>
      <c r="F485" s="200">
        <v>59832</v>
      </c>
      <c r="G485" s="107">
        <f t="shared" si="15"/>
        <v>59832</v>
      </c>
      <c r="H485" s="108">
        <f t="shared" si="16"/>
        <v>0</v>
      </c>
    </row>
    <row r="486" spans="4:8" ht="15">
      <c r="D486" s="196">
        <v>2334</v>
      </c>
      <c r="E486" s="196" t="s">
        <v>157</v>
      </c>
      <c r="F486" s="200">
        <v>41767</v>
      </c>
      <c r="G486" s="107">
        <f t="shared" si="15"/>
        <v>41767</v>
      </c>
      <c r="H486" s="108">
        <f t="shared" si="16"/>
        <v>0</v>
      </c>
    </row>
    <row r="487" spans="4:8" ht="15">
      <c r="D487" s="196">
        <v>30089</v>
      </c>
      <c r="E487" s="196" t="s">
        <v>158</v>
      </c>
      <c r="F487" s="200">
        <v>104735</v>
      </c>
      <c r="G487" s="107">
        <f t="shared" si="15"/>
        <v>104735</v>
      </c>
      <c r="H487" s="108">
        <f t="shared" si="16"/>
        <v>0</v>
      </c>
    </row>
    <row r="488" spans="4:8" ht="15">
      <c r="D488" s="196">
        <v>9324</v>
      </c>
      <c r="E488" s="196" t="s">
        <v>159</v>
      </c>
      <c r="F488" s="200">
        <v>12624</v>
      </c>
      <c r="G488" s="107">
        <f t="shared" si="15"/>
        <v>12624</v>
      </c>
      <c r="H488" s="108">
        <f t="shared" si="16"/>
        <v>0</v>
      </c>
    </row>
    <row r="489" spans="4:8" ht="15">
      <c r="D489" s="196">
        <v>22066</v>
      </c>
      <c r="E489" s="196" t="s">
        <v>160</v>
      </c>
      <c r="F489" s="200">
        <v>445899</v>
      </c>
      <c r="G489" s="107">
        <f t="shared" si="15"/>
        <v>445899</v>
      </c>
      <c r="H489" s="108">
        <f t="shared" si="16"/>
        <v>0</v>
      </c>
    </row>
    <row r="490" spans="4:8" ht="15">
      <c r="D490" s="196">
        <v>16356</v>
      </c>
      <c r="E490" s="196" t="s">
        <v>161</v>
      </c>
      <c r="F490" s="200">
        <v>27616</v>
      </c>
      <c r="G490" s="107">
        <f t="shared" si="15"/>
        <v>27616</v>
      </c>
      <c r="H490" s="108">
        <f t="shared" si="16"/>
        <v>0</v>
      </c>
    </row>
    <row r="491" spans="4:8" ht="15">
      <c r="D491" s="196">
        <v>31091</v>
      </c>
      <c r="E491" s="196" t="s">
        <v>162</v>
      </c>
      <c r="F491" s="200">
        <v>26024</v>
      </c>
      <c r="G491" s="107">
        <f t="shared" si="15"/>
        <v>26024</v>
      </c>
      <c r="H491" s="108">
        <f t="shared" si="16"/>
        <v>0</v>
      </c>
    </row>
    <row r="492" spans="4:8" ht="15">
      <c r="D492" s="196">
        <v>2342</v>
      </c>
      <c r="E492" s="196" t="s">
        <v>163</v>
      </c>
      <c r="F492" s="200">
        <v>42110</v>
      </c>
      <c r="G492" s="107">
        <f t="shared" si="15"/>
        <v>42110</v>
      </c>
      <c r="H492" s="108">
        <f t="shared" si="16"/>
        <v>0</v>
      </c>
    </row>
    <row r="493" spans="4:8" ht="15">
      <c r="D493" s="196">
        <v>22067</v>
      </c>
      <c r="E493" s="196" t="s">
        <v>164</v>
      </c>
      <c r="F493" s="200">
        <v>60366</v>
      </c>
      <c r="G493" s="107">
        <f t="shared" si="15"/>
        <v>60366</v>
      </c>
      <c r="H493" s="108">
        <f t="shared" si="16"/>
        <v>0</v>
      </c>
    </row>
    <row r="494" spans="4:8" ht="15">
      <c r="D494" s="196">
        <v>32112</v>
      </c>
      <c r="E494" s="196" t="s">
        <v>165</v>
      </c>
      <c r="F494" s="200">
        <v>23332</v>
      </c>
      <c r="G494" s="107">
        <f t="shared" si="15"/>
        <v>23332</v>
      </c>
      <c r="H494" s="108">
        <f t="shared" si="16"/>
        <v>0</v>
      </c>
    </row>
    <row r="495" spans="4:8" ht="15">
      <c r="D495" s="196">
        <v>2354</v>
      </c>
      <c r="E495" s="196" t="s">
        <v>166</v>
      </c>
      <c r="F495" s="200">
        <v>94015</v>
      </c>
      <c r="G495" s="107">
        <f t="shared" si="15"/>
        <v>94015</v>
      </c>
      <c r="H495" s="108">
        <f t="shared" si="16"/>
        <v>0</v>
      </c>
    </row>
    <row r="496" spans="4:8" ht="15">
      <c r="D496" s="196">
        <v>2148</v>
      </c>
      <c r="E496" s="196" t="s">
        <v>167</v>
      </c>
      <c r="F496" s="200">
        <v>27570</v>
      </c>
      <c r="G496" s="107">
        <f t="shared" si="15"/>
        <v>27570</v>
      </c>
      <c r="H496" s="108">
        <f t="shared" si="16"/>
        <v>0</v>
      </c>
    </row>
    <row r="497" spans="4:8" ht="15">
      <c r="D497" s="196">
        <v>1418</v>
      </c>
      <c r="E497" s="196" t="s">
        <v>168</v>
      </c>
      <c r="F497" s="200">
        <v>126291</v>
      </c>
      <c r="G497" s="107">
        <f t="shared" si="15"/>
        <v>126291</v>
      </c>
      <c r="H497" s="108">
        <f t="shared" si="16"/>
        <v>0</v>
      </c>
    </row>
    <row r="498" spans="4:8" ht="15">
      <c r="D498" s="196">
        <v>12102</v>
      </c>
      <c r="E498" s="196" t="s">
        <v>169</v>
      </c>
      <c r="F498" s="200">
        <v>631193</v>
      </c>
      <c r="G498" s="107">
        <f t="shared" si="15"/>
        <v>631193</v>
      </c>
      <c r="H498" s="108">
        <f t="shared" si="16"/>
        <v>0</v>
      </c>
    </row>
    <row r="499" spans="4:8" ht="15">
      <c r="D499" s="196">
        <v>2414</v>
      </c>
      <c r="E499" s="196" t="s">
        <v>170</v>
      </c>
      <c r="F499" s="200">
        <v>63798</v>
      </c>
      <c r="G499" s="107">
        <f t="shared" si="15"/>
        <v>63798</v>
      </c>
      <c r="H499" s="108">
        <f t="shared" si="16"/>
        <v>0</v>
      </c>
    </row>
    <row r="500" spans="4:8" ht="15">
      <c r="D500" s="196">
        <v>6124</v>
      </c>
      <c r="E500" s="196" t="s">
        <v>171</v>
      </c>
      <c r="F500" s="200">
        <v>377527</v>
      </c>
      <c r="G500" s="107">
        <f t="shared" si="15"/>
        <v>377527</v>
      </c>
      <c r="H500" s="108">
        <f t="shared" si="16"/>
        <v>0</v>
      </c>
    </row>
    <row r="501" spans="4:8" ht="15">
      <c r="D501" s="196">
        <v>4097</v>
      </c>
      <c r="E501" s="196" t="s">
        <v>172</v>
      </c>
      <c r="F501" s="200">
        <v>363581</v>
      </c>
      <c r="G501" s="107">
        <f t="shared" si="15"/>
        <v>363581</v>
      </c>
      <c r="H501" s="108">
        <f t="shared" si="16"/>
        <v>0</v>
      </c>
    </row>
    <row r="502" spans="4:8" ht="15">
      <c r="D502" s="196">
        <v>1416</v>
      </c>
      <c r="E502" s="196" t="s">
        <v>173</v>
      </c>
      <c r="F502" s="200">
        <v>54824</v>
      </c>
      <c r="G502" s="107">
        <f t="shared" si="15"/>
        <v>54824</v>
      </c>
      <c r="H502" s="108">
        <f t="shared" si="16"/>
        <v>0</v>
      </c>
    </row>
    <row r="503" spans="4:8" ht="15">
      <c r="D503" s="196">
        <v>1094</v>
      </c>
      <c r="E503" s="196" t="s">
        <v>174</v>
      </c>
      <c r="F503" s="200">
        <v>242502</v>
      </c>
      <c r="G503" s="107">
        <f t="shared" si="15"/>
        <v>242502</v>
      </c>
      <c r="H503" s="108">
        <f t="shared" si="16"/>
        <v>0</v>
      </c>
    </row>
    <row r="504" spans="4:8" ht="15">
      <c r="D504" s="196">
        <v>32111</v>
      </c>
      <c r="E504" s="196" t="s">
        <v>175</v>
      </c>
      <c r="F504" s="200">
        <v>252339</v>
      </c>
      <c r="G504" s="107">
        <f t="shared" si="15"/>
        <v>252339</v>
      </c>
      <c r="H504" s="108">
        <f t="shared" si="16"/>
        <v>0</v>
      </c>
    </row>
    <row r="505" spans="4:8" ht="15">
      <c r="D505" s="196">
        <v>2520</v>
      </c>
      <c r="E505" s="196" t="s">
        <v>176</v>
      </c>
      <c r="F505" s="200">
        <v>44909</v>
      </c>
      <c r="G505" s="107">
        <f t="shared" si="15"/>
        <v>44909</v>
      </c>
      <c r="H505" s="108">
        <f t="shared" si="16"/>
        <v>0</v>
      </c>
    </row>
    <row r="506" spans="4:8" ht="15">
      <c r="D506" s="196">
        <v>3450</v>
      </c>
      <c r="E506" s="196" t="s">
        <v>177</v>
      </c>
      <c r="F506" s="200">
        <v>78603</v>
      </c>
      <c r="G506" s="107">
        <f t="shared" si="15"/>
        <v>78603</v>
      </c>
      <c r="H506" s="108">
        <f t="shared" si="16"/>
        <v>0</v>
      </c>
    </row>
    <row r="507" spans="4:8" ht="15">
      <c r="D507" s="196">
        <v>4310</v>
      </c>
      <c r="E507" s="196" t="s">
        <v>178</v>
      </c>
      <c r="F507" s="200">
        <v>37496</v>
      </c>
      <c r="G507" s="107">
        <f t="shared" si="15"/>
        <v>37496</v>
      </c>
      <c r="H507" s="108">
        <f t="shared" si="16"/>
        <v>0</v>
      </c>
    </row>
    <row r="508" spans="4:8" ht="15">
      <c r="D508" s="196">
        <v>2328</v>
      </c>
      <c r="E508" s="196" t="s">
        <v>179</v>
      </c>
      <c r="F508" s="200">
        <v>54995</v>
      </c>
      <c r="G508" s="107">
        <f t="shared" si="15"/>
        <v>54995</v>
      </c>
      <c r="H508" s="108">
        <f t="shared" si="16"/>
        <v>0</v>
      </c>
    </row>
    <row r="509" spans="4:8" ht="15">
      <c r="D509" s="197">
        <v>12151</v>
      </c>
      <c r="E509" s="201" t="s">
        <v>180</v>
      </c>
      <c r="F509" s="200">
        <v>25751</v>
      </c>
      <c r="G509" s="107">
        <f t="shared" si="15"/>
        <v>25751</v>
      </c>
      <c r="H509" s="108">
        <f t="shared" si="16"/>
        <v>0</v>
      </c>
    </row>
    <row r="510" spans="4:8" ht="15">
      <c r="D510" s="196">
        <v>32110</v>
      </c>
      <c r="E510" s="196" t="s">
        <v>181</v>
      </c>
      <c r="F510" s="200">
        <v>260075</v>
      </c>
      <c r="G510" s="107">
        <f t="shared" si="15"/>
        <v>260075</v>
      </c>
      <c r="H510" s="108">
        <f t="shared" si="16"/>
        <v>0</v>
      </c>
    </row>
    <row r="511" spans="4:8" ht="15">
      <c r="D511" s="196">
        <v>4215</v>
      </c>
      <c r="E511" s="196" t="s">
        <v>182</v>
      </c>
      <c r="F511" s="200">
        <v>35707</v>
      </c>
      <c r="G511" s="107">
        <f t="shared" si="15"/>
        <v>35707</v>
      </c>
      <c r="H511" s="108">
        <f t="shared" si="16"/>
        <v>0</v>
      </c>
    </row>
    <row r="512" spans="4:8" ht="15">
      <c r="D512" s="196">
        <v>2870</v>
      </c>
      <c r="E512" s="196" t="s">
        <v>183</v>
      </c>
      <c r="F512" s="200">
        <v>41565</v>
      </c>
      <c r="G512" s="107">
        <f t="shared" si="15"/>
        <v>41565</v>
      </c>
      <c r="H512" s="108">
        <f t="shared" si="16"/>
        <v>0</v>
      </c>
    </row>
    <row r="513" spans="4:8" ht="15">
      <c r="D513" s="196">
        <v>29150</v>
      </c>
      <c r="E513" s="196" t="s">
        <v>184</v>
      </c>
      <c r="F513" s="200">
        <v>8100</v>
      </c>
      <c r="G513" s="107">
        <f t="shared" si="15"/>
        <v>8100</v>
      </c>
      <c r="H513" s="108">
        <f t="shared" si="16"/>
        <v>0</v>
      </c>
    </row>
    <row r="514" spans="4:8" ht="15">
      <c r="D514" s="196">
        <v>32118</v>
      </c>
      <c r="E514" s="196" t="s">
        <v>186</v>
      </c>
      <c r="F514" s="200">
        <v>164513</v>
      </c>
      <c r="G514" s="107">
        <f t="shared" si="15"/>
        <v>164513</v>
      </c>
      <c r="H514" s="108">
        <f t="shared" si="16"/>
        <v>0</v>
      </c>
    </row>
    <row r="515" spans="4:8" ht="15">
      <c r="D515" s="196">
        <v>12039</v>
      </c>
      <c r="E515" s="196" t="s">
        <v>187</v>
      </c>
      <c r="F515" s="200">
        <v>102254</v>
      </c>
      <c r="G515" s="107">
        <f t="shared" si="15"/>
        <v>102254</v>
      </c>
      <c r="H515" s="108">
        <f t="shared" si="16"/>
        <v>0</v>
      </c>
    </row>
    <row r="516" spans="4:8" ht="15">
      <c r="D516" s="196">
        <v>12150</v>
      </c>
      <c r="E516" s="196" t="s">
        <v>188</v>
      </c>
      <c r="F516" s="200">
        <v>18510</v>
      </c>
      <c r="G516" s="107">
        <f t="shared" si="15"/>
        <v>18510</v>
      </c>
      <c r="H516" s="108">
        <f t="shared" si="16"/>
        <v>0</v>
      </c>
    </row>
    <row r="517" spans="4:8" ht="15">
      <c r="D517" s="196">
        <v>20060</v>
      </c>
      <c r="E517" s="196" t="s">
        <v>189</v>
      </c>
      <c r="F517" s="200">
        <v>76041</v>
      </c>
      <c r="G517" s="107">
        <f t="shared" ref="G517:G580" si="17">VLOOKUP(D517,$A$9:$C$314,3,FALSE)</f>
        <v>76041</v>
      </c>
      <c r="H517" s="108">
        <f t="shared" si="16"/>
        <v>0</v>
      </c>
    </row>
    <row r="518" spans="4:8" ht="15">
      <c r="D518" s="196">
        <v>1001</v>
      </c>
      <c r="E518" s="196" t="s">
        <v>190</v>
      </c>
      <c r="F518" s="200">
        <v>290427</v>
      </c>
      <c r="G518" s="107">
        <f t="shared" si="17"/>
        <v>290427</v>
      </c>
      <c r="H518" s="108">
        <f t="shared" ref="H518:H581" si="18">+F518-G518</f>
        <v>0</v>
      </c>
    </row>
    <row r="519" spans="4:8" ht="15">
      <c r="D519" s="196">
        <v>11035</v>
      </c>
      <c r="E519" s="196" t="s">
        <v>191</v>
      </c>
      <c r="F519" s="200">
        <v>515070</v>
      </c>
      <c r="G519" s="107">
        <f t="shared" si="17"/>
        <v>515070</v>
      </c>
      <c r="H519" s="108">
        <f t="shared" si="18"/>
        <v>0</v>
      </c>
    </row>
    <row r="520" spans="4:8" ht="15">
      <c r="D520" s="196">
        <v>2320</v>
      </c>
      <c r="E520" s="196" t="s">
        <v>192</v>
      </c>
      <c r="F520" s="200">
        <v>60544</v>
      </c>
      <c r="G520" s="107">
        <f t="shared" si="17"/>
        <v>60544</v>
      </c>
      <c r="H520" s="108">
        <f t="shared" si="18"/>
        <v>0</v>
      </c>
    </row>
    <row r="521" spans="4:8" ht="15">
      <c r="D521" s="196">
        <v>28084</v>
      </c>
      <c r="E521" s="196" t="s">
        <v>193</v>
      </c>
      <c r="F521" s="200">
        <v>50899</v>
      </c>
      <c r="G521" s="107">
        <f t="shared" si="17"/>
        <v>50899</v>
      </c>
      <c r="H521" s="108">
        <f t="shared" si="18"/>
        <v>0</v>
      </c>
    </row>
    <row r="522" spans="4:8" ht="15">
      <c r="D522" s="196">
        <v>20125</v>
      </c>
      <c r="E522" s="196" t="s">
        <v>194</v>
      </c>
      <c r="F522" s="200">
        <v>77210</v>
      </c>
      <c r="G522" s="107">
        <f t="shared" si="17"/>
        <v>77210</v>
      </c>
      <c r="H522" s="108">
        <f t="shared" si="18"/>
        <v>0</v>
      </c>
    </row>
    <row r="523" spans="4:8" ht="15">
      <c r="D523" s="196">
        <v>7445</v>
      </c>
      <c r="E523" s="196" t="s">
        <v>401</v>
      </c>
      <c r="F523" s="200">
        <v>30530</v>
      </c>
      <c r="G523" s="107">
        <f t="shared" si="17"/>
        <v>30530</v>
      </c>
      <c r="H523" s="108">
        <f t="shared" si="18"/>
        <v>0</v>
      </c>
    </row>
    <row r="524" spans="4:8" ht="15">
      <c r="D524" s="196">
        <v>9029</v>
      </c>
      <c r="E524" s="196" t="s">
        <v>196</v>
      </c>
      <c r="F524" s="200">
        <v>150999</v>
      </c>
      <c r="G524" s="107">
        <f t="shared" si="17"/>
        <v>150999</v>
      </c>
      <c r="H524" s="108">
        <f t="shared" si="18"/>
        <v>0</v>
      </c>
    </row>
    <row r="525" spans="4:8" ht="15">
      <c r="D525" s="196">
        <v>2580</v>
      </c>
      <c r="E525" s="196" t="s">
        <v>197</v>
      </c>
      <c r="F525" s="200">
        <v>18163</v>
      </c>
      <c r="G525" s="107">
        <f t="shared" si="17"/>
        <v>18163</v>
      </c>
      <c r="H525" s="108">
        <f t="shared" si="18"/>
        <v>0</v>
      </c>
    </row>
    <row r="526" spans="4:8" ht="15">
      <c r="D526" s="196">
        <v>20312</v>
      </c>
      <c r="E526" s="196" t="s">
        <v>198</v>
      </c>
      <c r="F526" s="200">
        <v>14824</v>
      </c>
      <c r="G526" s="107">
        <f t="shared" si="17"/>
        <v>14824</v>
      </c>
      <c r="H526" s="108">
        <f t="shared" si="18"/>
        <v>0</v>
      </c>
    </row>
    <row r="527" spans="4:8" ht="15">
      <c r="D527" s="196">
        <v>26150</v>
      </c>
      <c r="E527" s="196" t="s">
        <v>199</v>
      </c>
      <c r="F527" s="200">
        <v>109871</v>
      </c>
      <c r="G527" s="107">
        <f t="shared" si="17"/>
        <v>109871</v>
      </c>
      <c r="H527" s="108">
        <f t="shared" si="18"/>
        <v>0</v>
      </c>
    </row>
    <row r="528" spans="4:8" ht="15">
      <c r="D528" s="196">
        <v>5016</v>
      </c>
      <c r="E528" s="196" t="s">
        <v>200</v>
      </c>
      <c r="F528" s="200">
        <v>15971</v>
      </c>
      <c r="G528" s="107">
        <f t="shared" si="17"/>
        <v>15971</v>
      </c>
      <c r="H528" s="108">
        <f t="shared" si="18"/>
        <v>0</v>
      </c>
    </row>
    <row r="529" spans="4:8" ht="15">
      <c r="D529" s="196">
        <v>6150</v>
      </c>
      <c r="E529" s="196" t="s">
        <v>201</v>
      </c>
      <c r="F529" s="200">
        <v>12608</v>
      </c>
      <c r="G529" s="107">
        <f t="shared" si="17"/>
        <v>12608</v>
      </c>
      <c r="H529" s="108">
        <f t="shared" si="18"/>
        <v>0</v>
      </c>
    </row>
    <row r="530" spans="4:8" ht="15">
      <c r="D530" s="196">
        <v>4480</v>
      </c>
      <c r="E530" s="196" t="s">
        <v>202</v>
      </c>
      <c r="F530" s="200">
        <v>21222</v>
      </c>
      <c r="G530" s="107">
        <f t="shared" si="17"/>
        <v>21222</v>
      </c>
      <c r="H530" s="108">
        <f t="shared" si="18"/>
        <v>0</v>
      </c>
    </row>
    <row r="531" spans="4:8" ht="15">
      <c r="D531" s="196">
        <v>28085</v>
      </c>
      <c r="E531" s="196" t="s">
        <v>203</v>
      </c>
      <c r="F531" s="200">
        <v>39690</v>
      </c>
      <c r="G531" s="107">
        <f t="shared" si="17"/>
        <v>39690</v>
      </c>
      <c r="H531" s="108">
        <f t="shared" si="18"/>
        <v>0</v>
      </c>
    </row>
    <row r="532" spans="4:8" ht="15">
      <c r="D532" s="197">
        <v>3240</v>
      </c>
      <c r="E532" s="197" t="s">
        <v>204</v>
      </c>
      <c r="F532" s="200">
        <v>230573</v>
      </c>
      <c r="G532" s="107">
        <f t="shared" si="17"/>
        <v>230573</v>
      </c>
      <c r="H532" s="108">
        <f t="shared" si="18"/>
        <v>0</v>
      </c>
    </row>
    <row r="533" spans="4:8" ht="15">
      <c r="D533" s="196">
        <v>12326</v>
      </c>
      <c r="E533" s="196" t="s">
        <v>205</v>
      </c>
      <c r="F533" s="200">
        <v>20726</v>
      </c>
      <c r="G533" s="107">
        <f t="shared" si="17"/>
        <v>20726</v>
      </c>
      <c r="H533" s="108">
        <f t="shared" si="18"/>
        <v>0</v>
      </c>
    </row>
    <row r="534" spans="4:8" ht="15">
      <c r="D534" s="196">
        <v>2445</v>
      </c>
      <c r="E534" s="196" t="s">
        <v>427</v>
      </c>
      <c r="F534" s="200">
        <v>19287</v>
      </c>
      <c r="G534" s="107">
        <f t="shared" si="17"/>
        <v>19287</v>
      </c>
      <c r="H534" s="108">
        <f t="shared" si="18"/>
        <v>0</v>
      </c>
    </row>
    <row r="535" spans="4:8" ht="15">
      <c r="D535" s="196">
        <v>29123</v>
      </c>
      <c r="E535" s="196" t="s">
        <v>206</v>
      </c>
      <c r="F535" s="200">
        <v>2904090</v>
      </c>
      <c r="G535" s="107">
        <f t="shared" si="17"/>
        <v>2904090</v>
      </c>
      <c r="H535" s="108">
        <f t="shared" si="18"/>
        <v>0</v>
      </c>
    </row>
    <row r="536" spans="4:8" ht="15">
      <c r="D536" s="196">
        <v>2318</v>
      </c>
      <c r="E536" s="196" t="s">
        <v>207</v>
      </c>
      <c r="F536" s="200">
        <v>61439</v>
      </c>
      <c r="G536" s="107">
        <f t="shared" si="17"/>
        <v>61439</v>
      </c>
      <c r="H536" s="108">
        <f t="shared" si="18"/>
        <v>0</v>
      </c>
    </row>
    <row r="537" spans="4:8" ht="15">
      <c r="D537" s="196">
        <v>3250</v>
      </c>
      <c r="E537" s="196" t="s">
        <v>208</v>
      </c>
      <c r="F537" s="200">
        <v>80713</v>
      </c>
      <c r="G537" s="107">
        <f t="shared" si="17"/>
        <v>80713</v>
      </c>
      <c r="H537" s="108">
        <f t="shared" si="18"/>
        <v>0</v>
      </c>
    </row>
    <row r="538" spans="4:8" ht="15">
      <c r="D538" s="196">
        <v>2313</v>
      </c>
      <c r="E538" s="196" t="s">
        <v>209</v>
      </c>
      <c r="F538" s="200">
        <v>11637</v>
      </c>
      <c r="G538" s="107">
        <f t="shared" si="17"/>
        <v>11637</v>
      </c>
      <c r="H538" s="108">
        <f t="shared" si="18"/>
        <v>0</v>
      </c>
    </row>
    <row r="539" spans="4:8" ht="15">
      <c r="D539" s="196">
        <v>4011</v>
      </c>
      <c r="E539" s="196" t="s">
        <v>210</v>
      </c>
      <c r="F539" s="200">
        <v>1659735</v>
      </c>
      <c r="G539" s="107">
        <f t="shared" si="17"/>
        <v>1659735</v>
      </c>
      <c r="H539" s="108">
        <f t="shared" si="18"/>
        <v>0</v>
      </c>
    </row>
    <row r="540" spans="4:8" ht="15">
      <c r="D540" s="196">
        <v>31092</v>
      </c>
      <c r="E540" s="196" t="s">
        <v>211</v>
      </c>
      <c r="F540" s="200">
        <v>25769</v>
      </c>
      <c r="G540" s="107">
        <f t="shared" si="17"/>
        <v>25769</v>
      </c>
      <c r="H540" s="108">
        <f t="shared" si="18"/>
        <v>0</v>
      </c>
    </row>
    <row r="541" spans="4:8" ht="15">
      <c r="D541" s="196">
        <v>26081</v>
      </c>
      <c r="E541" s="196" t="s">
        <v>212</v>
      </c>
      <c r="F541" s="200">
        <v>304499</v>
      </c>
      <c r="G541" s="107">
        <f t="shared" si="17"/>
        <v>304499</v>
      </c>
      <c r="H541" s="108">
        <f t="shared" si="18"/>
        <v>0</v>
      </c>
    </row>
    <row r="542" spans="4:8" ht="15">
      <c r="D542" s="196">
        <v>29305</v>
      </c>
      <c r="E542" s="196" t="s">
        <v>213</v>
      </c>
      <c r="F542" s="200">
        <v>20223</v>
      </c>
      <c r="G542" s="107">
        <f t="shared" si="17"/>
        <v>20223</v>
      </c>
      <c r="H542" s="108">
        <f t="shared" si="18"/>
        <v>0</v>
      </c>
    </row>
    <row r="543" spans="4:8" ht="15">
      <c r="D543" s="196">
        <v>10032</v>
      </c>
      <c r="E543" s="196" t="s">
        <v>214</v>
      </c>
      <c r="F543" s="200">
        <v>37655</v>
      </c>
      <c r="G543" s="107">
        <f t="shared" si="17"/>
        <v>37655</v>
      </c>
      <c r="H543" s="108">
        <f t="shared" si="18"/>
        <v>0</v>
      </c>
    </row>
    <row r="544" spans="4:8" ht="15">
      <c r="D544" s="196">
        <v>32107</v>
      </c>
      <c r="E544" s="196" t="s">
        <v>215</v>
      </c>
      <c r="F544" s="200">
        <v>47660</v>
      </c>
      <c r="G544" s="107">
        <f t="shared" si="17"/>
        <v>47660</v>
      </c>
      <c r="H544" s="108">
        <f t="shared" si="18"/>
        <v>0</v>
      </c>
    </row>
    <row r="545" spans="4:8" ht="15">
      <c r="D545" s="196">
        <v>3260</v>
      </c>
      <c r="E545" s="196" t="s">
        <v>216</v>
      </c>
      <c r="F545" s="200">
        <v>667632</v>
      </c>
      <c r="G545" s="107">
        <f t="shared" si="17"/>
        <v>667632</v>
      </c>
      <c r="H545" s="108">
        <f t="shared" si="18"/>
        <v>0</v>
      </c>
    </row>
    <row r="546" spans="4:8" ht="15">
      <c r="D546" s="196">
        <v>4390</v>
      </c>
      <c r="E546" s="196" t="s">
        <v>217</v>
      </c>
      <c r="F546" s="200">
        <v>7245</v>
      </c>
      <c r="G546" s="107">
        <f t="shared" si="17"/>
        <v>7245</v>
      </c>
      <c r="H546" s="108">
        <f t="shared" si="18"/>
        <v>0</v>
      </c>
    </row>
    <row r="547" spans="4:8" ht="15">
      <c r="D547" s="196">
        <v>3270</v>
      </c>
      <c r="E547" s="196" t="s">
        <v>218</v>
      </c>
      <c r="F547" s="200">
        <v>101533</v>
      </c>
      <c r="G547" s="107">
        <f t="shared" si="17"/>
        <v>101533</v>
      </c>
      <c r="H547" s="108">
        <f t="shared" si="18"/>
        <v>0</v>
      </c>
    </row>
    <row r="548" spans="4:8" ht="15">
      <c r="D548" s="196">
        <v>29303</v>
      </c>
      <c r="E548" s="196" t="s">
        <v>219</v>
      </c>
      <c r="F548" s="200">
        <v>36283</v>
      </c>
      <c r="G548" s="107">
        <f t="shared" si="17"/>
        <v>36283</v>
      </c>
      <c r="H548" s="108">
        <f t="shared" si="18"/>
        <v>0</v>
      </c>
    </row>
    <row r="549" spans="4:8" ht="15">
      <c r="D549" s="196">
        <v>3280</v>
      </c>
      <c r="E549" s="196" t="s">
        <v>412</v>
      </c>
      <c r="F549" s="200">
        <v>511346</v>
      </c>
      <c r="G549" s="107">
        <f t="shared" si="17"/>
        <v>511346</v>
      </c>
      <c r="H549" s="108">
        <f t="shared" si="18"/>
        <v>0</v>
      </c>
    </row>
    <row r="550" spans="4:8" ht="15">
      <c r="D550" s="196">
        <v>4260</v>
      </c>
      <c r="E550" s="196" t="s">
        <v>221</v>
      </c>
      <c r="F550" s="200">
        <v>39689</v>
      </c>
      <c r="G550" s="107">
        <f t="shared" si="17"/>
        <v>39689</v>
      </c>
      <c r="H550" s="108">
        <f t="shared" si="18"/>
        <v>0</v>
      </c>
    </row>
    <row r="551" spans="4:8" ht="15">
      <c r="D551" s="196">
        <v>1003</v>
      </c>
      <c r="E551" s="196" t="s">
        <v>222</v>
      </c>
      <c r="F551" s="200">
        <v>568222</v>
      </c>
      <c r="G551" s="107">
        <f t="shared" si="17"/>
        <v>568222</v>
      </c>
      <c r="H551" s="108">
        <f t="shared" si="18"/>
        <v>0</v>
      </c>
    </row>
    <row r="552" spans="4:8" ht="15">
      <c r="D552" s="196">
        <v>3290</v>
      </c>
      <c r="E552" s="196" t="s">
        <v>223</v>
      </c>
      <c r="F552" s="200">
        <v>1157478</v>
      </c>
      <c r="G552" s="107">
        <f t="shared" si="17"/>
        <v>1157478</v>
      </c>
      <c r="H552" s="108">
        <f t="shared" si="18"/>
        <v>0</v>
      </c>
    </row>
    <row r="553" spans="4:8" ht="15">
      <c r="D553" s="196">
        <v>1002</v>
      </c>
      <c r="E553" s="196" t="s">
        <v>224</v>
      </c>
      <c r="F553" s="200">
        <v>2056822</v>
      </c>
      <c r="G553" s="107">
        <f t="shared" si="17"/>
        <v>2056822</v>
      </c>
      <c r="H553" s="108">
        <f t="shared" si="18"/>
        <v>0</v>
      </c>
    </row>
    <row r="554" spans="4:8" ht="15">
      <c r="D554" s="196">
        <v>4270</v>
      </c>
      <c r="E554" s="196" t="s">
        <v>413</v>
      </c>
      <c r="F554" s="200">
        <v>43128</v>
      </c>
      <c r="G554" s="107">
        <f t="shared" si="17"/>
        <v>43128</v>
      </c>
      <c r="H554" s="108">
        <f t="shared" si="18"/>
        <v>0</v>
      </c>
    </row>
    <row r="555" spans="4:8" ht="15">
      <c r="D555" s="196">
        <v>24072</v>
      </c>
      <c r="E555" s="196" t="s">
        <v>225</v>
      </c>
      <c r="F555" s="200">
        <v>154371</v>
      </c>
      <c r="G555" s="107">
        <f t="shared" si="17"/>
        <v>154371</v>
      </c>
      <c r="H555" s="108">
        <f t="shared" si="18"/>
        <v>0</v>
      </c>
    </row>
    <row r="556" spans="4:8" ht="15">
      <c r="D556" s="196">
        <v>14366</v>
      </c>
      <c r="E556" s="196" t="s">
        <v>226</v>
      </c>
      <c r="F556" s="200">
        <v>97418</v>
      </c>
      <c r="G556" s="107">
        <f t="shared" si="17"/>
        <v>97418</v>
      </c>
      <c r="H556" s="108">
        <f t="shared" si="18"/>
        <v>0</v>
      </c>
    </row>
    <row r="557" spans="4:8" ht="15">
      <c r="D557" s="196">
        <v>4317</v>
      </c>
      <c r="E557" s="196" t="s">
        <v>227</v>
      </c>
      <c r="F557" s="200">
        <v>27129</v>
      </c>
      <c r="G557" s="107">
        <f t="shared" si="17"/>
        <v>27129</v>
      </c>
      <c r="H557" s="108">
        <f t="shared" si="18"/>
        <v>0</v>
      </c>
    </row>
    <row r="558" spans="4:8" ht="15">
      <c r="D558" s="196">
        <v>32120</v>
      </c>
      <c r="E558" s="196" t="s">
        <v>228</v>
      </c>
      <c r="F558" s="200">
        <v>53943</v>
      </c>
      <c r="G558" s="107">
        <f t="shared" si="17"/>
        <v>53943</v>
      </c>
      <c r="H558" s="108">
        <f t="shared" si="18"/>
        <v>0</v>
      </c>
    </row>
    <row r="559" spans="4:8" ht="15">
      <c r="D559" s="196">
        <v>3300</v>
      </c>
      <c r="E559" s="196" t="s">
        <v>414</v>
      </c>
      <c r="F559" s="200">
        <v>78044</v>
      </c>
      <c r="G559" s="107">
        <f t="shared" si="17"/>
        <v>78044</v>
      </c>
      <c r="H559" s="108">
        <f t="shared" si="18"/>
        <v>0</v>
      </c>
    </row>
    <row r="560" spans="4:8" ht="15">
      <c r="D560" s="196">
        <v>8026</v>
      </c>
      <c r="E560" s="196" t="s">
        <v>230</v>
      </c>
      <c r="F560" s="200">
        <v>417745</v>
      </c>
      <c r="G560" s="107">
        <f t="shared" si="17"/>
        <v>417745</v>
      </c>
      <c r="H560" s="108">
        <f t="shared" si="18"/>
        <v>0</v>
      </c>
    </row>
    <row r="561" spans="4:8" ht="15">
      <c r="D561" s="196">
        <v>32119</v>
      </c>
      <c r="E561" s="198" t="s">
        <v>231</v>
      </c>
      <c r="F561" s="200">
        <v>12609</v>
      </c>
      <c r="G561" s="107">
        <f t="shared" si="17"/>
        <v>12609</v>
      </c>
      <c r="H561" s="108">
        <f t="shared" si="18"/>
        <v>0</v>
      </c>
    </row>
    <row r="562" spans="4:8" ht="15">
      <c r="D562" s="196">
        <v>25076</v>
      </c>
      <c r="E562" s="196" t="s">
        <v>232</v>
      </c>
      <c r="F562" s="200">
        <v>263089</v>
      </c>
      <c r="G562" s="107">
        <f t="shared" si="17"/>
        <v>263089</v>
      </c>
      <c r="H562" s="108">
        <f t="shared" si="18"/>
        <v>0</v>
      </c>
    </row>
    <row r="563" spans="4:8" ht="15">
      <c r="D563" s="196">
        <v>2440</v>
      </c>
      <c r="E563" s="196" t="s">
        <v>396</v>
      </c>
      <c r="F563" s="200">
        <v>61282</v>
      </c>
      <c r="G563" s="107">
        <f t="shared" si="17"/>
        <v>61282</v>
      </c>
      <c r="H563" s="108">
        <f t="shared" si="18"/>
        <v>0</v>
      </c>
    </row>
    <row r="564" spans="4:8" ht="15">
      <c r="D564" s="196">
        <v>2309</v>
      </c>
      <c r="E564" s="196" t="s">
        <v>233</v>
      </c>
      <c r="F564" s="200">
        <v>116399</v>
      </c>
      <c r="G564" s="107">
        <f t="shared" si="17"/>
        <v>116399</v>
      </c>
      <c r="H564" s="108">
        <f t="shared" si="18"/>
        <v>0</v>
      </c>
    </row>
    <row r="565" spans="4:8" ht="15">
      <c r="D565" s="196">
        <v>2396</v>
      </c>
      <c r="E565" s="196" t="s">
        <v>234</v>
      </c>
      <c r="F565" s="200">
        <v>29539</v>
      </c>
      <c r="G565" s="107">
        <f t="shared" si="17"/>
        <v>29539</v>
      </c>
      <c r="H565" s="108">
        <f t="shared" si="18"/>
        <v>0</v>
      </c>
    </row>
    <row r="566" spans="4:8" ht="15">
      <c r="D566" s="219" t="s">
        <v>464</v>
      </c>
      <c r="E566" s="196" t="s">
        <v>455</v>
      </c>
      <c r="F566" s="200">
        <v>213021</v>
      </c>
      <c r="G566" s="107">
        <f t="shared" si="17"/>
        <v>213021</v>
      </c>
      <c r="H566" s="108">
        <f t="shared" si="18"/>
        <v>0</v>
      </c>
    </row>
    <row r="567" spans="4:8" ht="15">
      <c r="D567" s="196">
        <v>3380</v>
      </c>
      <c r="E567" s="196" t="s">
        <v>235</v>
      </c>
      <c r="F567" s="200">
        <v>19882</v>
      </c>
      <c r="G567" s="107">
        <f t="shared" si="17"/>
        <v>19882</v>
      </c>
      <c r="H567" s="108">
        <f t="shared" si="18"/>
        <v>0</v>
      </c>
    </row>
    <row r="568" spans="4:8" ht="15">
      <c r="D568" s="196">
        <v>2740</v>
      </c>
      <c r="E568" s="196" t="s">
        <v>237</v>
      </c>
      <c r="F568" s="200">
        <v>3503</v>
      </c>
      <c r="G568" s="107">
        <f t="shared" si="17"/>
        <v>3503</v>
      </c>
      <c r="H568" s="108">
        <f t="shared" si="18"/>
        <v>0</v>
      </c>
    </row>
    <row r="569" spans="4:8" ht="15">
      <c r="D569" s="196">
        <v>2346</v>
      </c>
      <c r="E569" s="196" t="s">
        <v>238</v>
      </c>
      <c r="F569" s="200">
        <v>21915</v>
      </c>
      <c r="G569" s="107">
        <f t="shared" si="17"/>
        <v>21915</v>
      </c>
      <c r="H569" s="108">
        <f t="shared" si="18"/>
        <v>0</v>
      </c>
    </row>
    <row r="570" spans="4:8" ht="15">
      <c r="D570" s="196">
        <v>21150</v>
      </c>
      <c r="E570" s="196" t="s">
        <v>239</v>
      </c>
      <c r="F570" s="200">
        <v>98389</v>
      </c>
      <c r="G570" s="107">
        <f t="shared" si="17"/>
        <v>98389</v>
      </c>
      <c r="H570" s="108">
        <f t="shared" si="18"/>
        <v>0</v>
      </c>
    </row>
    <row r="571" spans="4:8" ht="15">
      <c r="D571" s="196">
        <v>32098</v>
      </c>
      <c r="E571" s="196" t="s">
        <v>240</v>
      </c>
      <c r="F571" s="200">
        <v>22314</v>
      </c>
      <c r="G571" s="107">
        <f t="shared" si="17"/>
        <v>22314</v>
      </c>
      <c r="H571" s="108">
        <f t="shared" si="18"/>
        <v>0</v>
      </c>
    </row>
    <row r="572" spans="4:8" ht="15">
      <c r="D572" s="196">
        <v>4520</v>
      </c>
      <c r="E572" s="196" t="s">
        <v>241</v>
      </c>
      <c r="F572" s="200">
        <v>3494</v>
      </c>
      <c r="G572" s="107">
        <f t="shared" si="17"/>
        <v>3494</v>
      </c>
      <c r="H572" s="108">
        <f t="shared" si="18"/>
        <v>0</v>
      </c>
    </row>
    <row r="573" spans="4:8" ht="15">
      <c r="D573" s="196">
        <v>9030</v>
      </c>
      <c r="E573" s="196" t="s">
        <v>242</v>
      </c>
      <c r="F573" s="200">
        <v>33753</v>
      </c>
      <c r="G573" s="107">
        <f t="shared" si="17"/>
        <v>33753</v>
      </c>
      <c r="H573" s="108">
        <f t="shared" si="18"/>
        <v>0</v>
      </c>
    </row>
    <row r="574" spans="4:8" ht="15">
      <c r="D574" s="196">
        <v>20265</v>
      </c>
      <c r="E574" s="196" t="s">
        <v>243</v>
      </c>
      <c r="F574" s="200">
        <v>48612</v>
      </c>
      <c r="G574" s="107">
        <f t="shared" si="17"/>
        <v>48612</v>
      </c>
      <c r="H574" s="108">
        <f t="shared" si="18"/>
        <v>0</v>
      </c>
    </row>
    <row r="575" spans="4:8" ht="15">
      <c r="D575" s="196">
        <v>20307</v>
      </c>
      <c r="E575" s="196" t="s">
        <v>244</v>
      </c>
      <c r="F575" s="200">
        <v>40863</v>
      </c>
      <c r="G575" s="107">
        <f t="shared" si="17"/>
        <v>40863</v>
      </c>
      <c r="H575" s="108">
        <f t="shared" si="18"/>
        <v>0</v>
      </c>
    </row>
    <row r="576" spans="4:8" ht="15">
      <c r="D576" s="196">
        <v>3320</v>
      </c>
      <c r="E576" s="196" t="s">
        <v>245</v>
      </c>
      <c r="F576" s="200">
        <v>253119</v>
      </c>
      <c r="G576" s="107">
        <f t="shared" si="17"/>
        <v>253119</v>
      </c>
      <c r="H576" s="108">
        <f t="shared" si="18"/>
        <v>0</v>
      </c>
    </row>
    <row r="577" spans="4:8" ht="15">
      <c r="D577" s="196">
        <v>20415</v>
      </c>
      <c r="E577" s="196" t="s">
        <v>246</v>
      </c>
      <c r="F577" s="200">
        <v>30023</v>
      </c>
      <c r="G577" s="107">
        <f t="shared" si="17"/>
        <v>30023</v>
      </c>
      <c r="H577" s="108">
        <f t="shared" si="18"/>
        <v>0</v>
      </c>
    </row>
    <row r="578" spans="4:8" ht="15">
      <c r="D578" s="196">
        <v>20435</v>
      </c>
      <c r="E578" s="196" t="s">
        <v>407</v>
      </c>
      <c r="F578" s="200">
        <v>33726</v>
      </c>
      <c r="G578" s="107">
        <f t="shared" si="17"/>
        <v>33726</v>
      </c>
      <c r="H578" s="108">
        <f t="shared" si="18"/>
        <v>0</v>
      </c>
    </row>
    <row r="579" spans="4:8" ht="15">
      <c r="D579" s="196">
        <v>20062</v>
      </c>
      <c r="E579" s="196" t="s">
        <v>247</v>
      </c>
      <c r="F579" s="200">
        <v>334389</v>
      </c>
      <c r="G579" s="107">
        <f t="shared" si="17"/>
        <v>334389</v>
      </c>
      <c r="H579" s="108">
        <f t="shared" si="18"/>
        <v>0</v>
      </c>
    </row>
    <row r="580" spans="4:8" ht="15">
      <c r="D580" s="196">
        <v>3410</v>
      </c>
      <c r="E580" s="196" t="s">
        <v>456</v>
      </c>
      <c r="F580" s="200">
        <v>4420</v>
      </c>
      <c r="G580" s="107">
        <f t="shared" si="17"/>
        <v>4420</v>
      </c>
      <c r="H580" s="108">
        <f t="shared" si="18"/>
        <v>0</v>
      </c>
    </row>
    <row r="581" spans="4:8" ht="15">
      <c r="D581" s="196">
        <v>6020</v>
      </c>
      <c r="E581" s="196" t="s">
        <v>248</v>
      </c>
      <c r="F581" s="200">
        <v>70791</v>
      </c>
      <c r="G581" s="107">
        <f t="shared" ref="G581:G629" si="19">VLOOKUP(D581,$A$9:$C$314,3,FALSE)</f>
        <v>70791</v>
      </c>
      <c r="H581" s="108">
        <f t="shared" si="18"/>
        <v>0</v>
      </c>
    </row>
    <row r="582" spans="4:8" ht="15">
      <c r="D582" s="196">
        <v>2394</v>
      </c>
      <c r="E582" s="196" t="s">
        <v>249</v>
      </c>
      <c r="F582" s="200">
        <v>44179</v>
      </c>
      <c r="G582" s="107">
        <f t="shared" si="19"/>
        <v>44179</v>
      </c>
      <c r="H582" s="108">
        <f t="shared" ref="H582:H629" si="20">+F582-G582</f>
        <v>0</v>
      </c>
    </row>
    <row r="583" spans="4:8" ht="15">
      <c r="D583" s="196">
        <v>5015</v>
      </c>
      <c r="E583" s="196" t="s">
        <v>250</v>
      </c>
      <c r="F583" s="200">
        <v>97457</v>
      </c>
      <c r="G583" s="107">
        <f t="shared" si="19"/>
        <v>97457</v>
      </c>
      <c r="H583" s="108">
        <f t="shared" si="20"/>
        <v>0</v>
      </c>
    </row>
    <row r="584" spans="4:8" ht="15">
      <c r="D584" s="196">
        <v>29408</v>
      </c>
      <c r="E584" s="196" t="s">
        <v>251</v>
      </c>
      <c r="F584" s="200">
        <v>72559</v>
      </c>
      <c r="G584" s="107">
        <f t="shared" si="19"/>
        <v>72559</v>
      </c>
      <c r="H584" s="108">
        <f t="shared" si="20"/>
        <v>0</v>
      </c>
    </row>
    <row r="585" spans="4:8" ht="15">
      <c r="D585" s="196">
        <v>2413</v>
      </c>
      <c r="E585" s="196" t="s">
        <v>252</v>
      </c>
      <c r="F585" s="200">
        <v>12874</v>
      </c>
      <c r="G585" s="107">
        <f t="shared" si="19"/>
        <v>12874</v>
      </c>
      <c r="H585" s="108">
        <f t="shared" si="20"/>
        <v>0</v>
      </c>
    </row>
    <row r="586" spans="4:8" ht="15">
      <c r="D586" s="197">
        <v>1398</v>
      </c>
      <c r="E586" s="197" t="s">
        <v>253</v>
      </c>
      <c r="F586" s="200">
        <v>43820</v>
      </c>
      <c r="G586" s="107">
        <f t="shared" si="19"/>
        <v>43820</v>
      </c>
      <c r="H586" s="108">
        <f t="shared" si="20"/>
        <v>0</v>
      </c>
    </row>
    <row r="587" spans="4:8" ht="15">
      <c r="D587" s="196">
        <v>2366</v>
      </c>
      <c r="E587" s="196" t="s">
        <v>254</v>
      </c>
      <c r="F587" s="200">
        <v>27096</v>
      </c>
      <c r="G587" s="107">
        <f t="shared" si="19"/>
        <v>27096</v>
      </c>
      <c r="H587" s="108">
        <f t="shared" si="20"/>
        <v>0</v>
      </c>
    </row>
    <row r="588" spans="4:8" ht="15">
      <c r="D588" s="196">
        <v>7421</v>
      </c>
      <c r="E588" s="196" t="s">
        <v>255</v>
      </c>
      <c r="F588" s="200">
        <v>24525</v>
      </c>
      <c r="G588" s="107">
        <f t="shared" si="19"/>
        <v>24525</v>
      </c>
      <c r="H588" s="108">
        <f t="shared" si="20"/>
        <v>0</v>
      </c>
    </row>
    <row r="589" spans="4:8" ht="15">
      <c r="D589" s="196">
        <v>1425</v>
      </c>
      <c r="E589" s="196" t="s">
        <v>426</v>
      </c>
      <c r="F589" s="200">
        <v>40929</v>
      </c>
      <c r="G589" s="107">
        <f t="shared" si="19"/>
        <v>40929</v>
      </c>
      <c r="H589" s="108">
        <f t="shared" si="20"/>
        <v>0</v>
      </c>
    </row>
    <row r="590" spans="4:8" ht="15">
      <c r="D590" s="196">
        <v>2370</v>
      </c>
      <c r="E590" s="196" t="s">
        <v>256</v>
      </c>
      <c r="F590" s="200">
        <v>38137</v>
      </c>
      <c r="G590" s="107">
        <f t="shared" si="19"/>
        <v>38137</v>
      </c>
      <c r="H590" s="108">
        <f t="shared" si="20"/>
        <v>0</v>
      </c>
    </row>
    <row r="591" spans="4:8" ht="15">
      <c r="D591" s="196">
        <v>32094</v>
      </c>
      <c r="E591" s="196" t="s">
        <v>257</v>
      </c>
      <c r="F591" s="200">
        <v>50389</v>
      </c>
      <c r="G591" s="107">
        <f t="shared" si="19"/>
        <v>50389</v>
      </c>
      <c r="H591" s="108">
        <f t="shared" si="20"/>
        <v>0</v>
      </c>
    </row>
    <row r="592" spans="4:8" ht="15">
      <c r="D592" s="196">
        <v>2790</v>
      </c>
      <c r="E592" s="196" t="s">
        <v>258</v>
      </c>
      <c r="F592" s="200">
        <v>4858</v>
      </c>
      <c r="G592" s="107">
        <f t="shared" si="19"/>
        <v>4858</v>
      </c>
      <c r="H592" s="108">
        <f t="shared" si="20"/>
        <v>0</v>
      </c>
    </row>
    <row r="593" spans="4:8" ht="15">
      <c r="D593" s="196">
        <v>3330</v>
      </c>
      <c r="E593" s="196" t="s">
        <v>259</v>
      </c>
      <c r="F593" s="200">
        <v>108747</v>
      </c>
      <c r="G593" s="107">
        <f t="shared" si="19"/>
        <v>108747</v>
      </c>
      <c r="H593" s="108">
        <f t="shared" si="20"/>
        <v>0</v>
      </c>
    </row>
    <row r="594" spans="4:8" ht="15">
      <c r="D594" s="196">
        <v>2080</v>
      </c>
      <c r="E594" s="196" t="s">
        <v>260</v>
      </c>
      <c r="F594" s="200">
        <v>131594</v>
      </c>
      <c r="G594" s="107">
        <f t="shared" si="19"/>
        <v>131594</v>
      </c>
      <c r="H594" s="108">
        <f t="shared" si="20"/>
        <v>0</v>
      </c>
    </row>
    <row r="595" spans="4:8" ht="15">
      <c r="D595" s="196">
        <v>4290</v>
      </c>
      <c r="E595" s="196" t="s">
        <v>261</v>
      </c>
      <c r="F595" s="200">
        <v>54028</v>
      </c>
      <c r="G595" s="107">
        <f t="shared" si="19"/>
        <v>54028</v>
      </c>
      <c r="H595" s="108">
        <f t="shared" si="20"/>
        <v>0</v>
      </c>
    </row>
    <row r="596" spans="4:8" ht="15">
      <c r="D596" s="196">
        <v>2270</v>
      </c>
      <c r="E596" s="196" t="s">
        <v>262</v>
      </c>
      <c r="F596" s="200">
        <v>1858</v>
      </c>
      <c r="G596" s="107">
        <f t="shared" si="19"/>
        <v>1858</v>
      </c>
      <c r="H596" s="108">
        <f t="shared" si="20"/>
        <v>0</v>
      </c>
    </row>
    <row r="597" spans="4:8" ht="15">
      <c r="D597" s="196">
        <v>2300</v>
      </c>
      <c r="E597" s="196" t="s">
        <v>263</v>
      </c>
      <c r="F597" s="200">
        <v>20760</v>
      </c>
      <c r="G597" s="107">
        <f t="shared" si="19"/>
        <v>20760</v>
      </c>
      <c r="H597" s="108">
        <f t="shared" si="20"/>
        <v>0</v>
      </c>
    </row>
    <row r="598" spans="4:8" ht="15">
      <c r="D598" s="196">
        <v>2720</v>
      </c>
      <c r="E598" s="196" t="s">
        <v>264</v>
      </c>
      <c r="F598" s="200">
        <v>164041</v>
      </c>
      <c r="G598" s="107">
        <f t="shared" si="19"/>
        <v>164041</v>
      </c>
      <c r="H598" s="108">
        <f t="shared" si="20"/>
        <v>0</v>
      </c>
    </row>
    <row r="599" spans="4:8" ht="15">
      <c r="D599" s="196">
        <v>2750</v>
      </c>
      <c r="E599" s="196" t="s">
        <v>265</v>
      </c>
      <c r="F599" s="200">
        <v>9990</v>
      </c>
      <c r="G599" s="107">
        <f t="shared" si="19"/>
        <v>9990</v>
      </c>
      <c r="H599" s="108">
        <f t="shared" si="20"/>
        <v>0</v>
      </c>
    </row>
    <row r="600" spans="4:8" ht="15">
      <c r="D600" s="196">
        <v>2770</v>
      </c>
      <c r="E600" s="196" t="s">
        <v>266</v>
      </c>
      <c r="F600" s="200">
        <v>143858</v>
      </c>
      <c r="G600" s="107">
        <f t="shared" si="19"/>
        <v>143858</v>
      </c>
      <c r="H600" s="108">
        <f t="shared" si="20"/>
        <v>0</v>
      </c>
    </row>
    <row r="601" spans="4:8" ht="15">
      <c r="D601" s="196">
        <v>32106</v>
      </c>
      <c r="E601" s="196" t="s">
        <v>267</v>
      </c>
      <c r="F601" s="200">
        <v>7764</v>
      </c>
      <c r="G601" s="107">
        <f t="shared" si="19"/>
        <v>7764</v>
      </c>
      <c r="H601" s="108">
        <f t="shared" si="20"/>
        <v>0</v>
      </c>
    </row>
    <row r="602" spans="4:8" ht="15">
      <c r="D602" s="196">
        <v>4180</v>
      </c>
      <c r="E602" s="196" t="s">
        <v>268</v>
      </c>
      <c r="F602" s="200">
        <v>15154</v>
      </c>
      <c r="G602" s="107">
        <f t="shared" si="19"/>
        <v>15154</v>
      </c>
      <c r="H602" s="108">
        <f t="shared" si="20"/>
        <v>0</v>
      </c>
    </row>
    <row r="603" spans="4:8" ht="15">
      <c r="D603" s="196">
        <v>21063</v>
      </c>
      <c r="E603" s="196" t="s">
        <v>269</v>
      </c>
      <c r="F603" s="200">
        <v>251804</v>
      </c>
      <c r="G603" s="107">
        <f t="shared" si="19"/>
        <v>251804</v>
      </c>
      <c r="H603" s="108">
        <f t="shared" si="20"/>
        <v>0</v>
      </c>
    </row>
    <row r="604" spans="4:8" ht="15">
      <c r="D604" s="196">
        <v>10033</v>
      </c>
      <c r="E604" s="196" t="s">
        <v>270</v>
      </c>
      <c r="F604" s="200">
        <v>157646</v>
      </c>
      <c r="G604" s="107">
        <f t="shared" si="19"/>
        <v>157646</v>
      </c>
      <c r="H604" s="108">
        <f t="shared" si="20"/>
        <v>0</v>
      </c>
    </row>
    <row r="605" spans="4:8" ht="15">
      <c r="D605" s="196">
        <v>15049</v>
      </c>
      <c r="E605" s="196" t="s">
        <v>271</v>
      </c>
      <c r="F605" s="200">
        <v>192442</v>
      </c>
      <c r="G605" s="107">
        <f t="shared" si="19"/>
        <v>192442</v>
      </c>
      <c r="H605" s="108">
        <f t="shared" si="20"/>
        <v>0</v>
      </c>
    </row>
    <row r="606" spans="4:8" ht="15">
      <c r="D606" s="196">
        <v>1315</v>
      </c>
      <c r="E606" s="196" t="s">
        <v>272</v>
      </c>
      <c r="F606" s="200">
        <v>104797</v>
      </c>
      <c r="G606" s="107">
        <f t="shared" si="19"/>
        <v>104797</v>
      </c>
      <c r="H606" s="108">
        <f t="shared" si="20"/>
        <v>0</v>
      </c>
    </row>
    <row r="607" spans="4:8" ht="15">
      <c r="D607" s="196">
        <v>3340</v>
      </c>
      <c r="E607" s="196" t="s">
        <v>273</v>
      </c>
      <c r="F607" s="200">
        <v>33777</v>
      </c>
      <c r="G607" s="107">
        <f t="shared" si="19"/>
        <v>33777</v>
      </c>
      <c r="H607" s="108">
        <f t="shared" si="20"/>
        <v>0</v>
      </c>
    </row>
    <row r="608" spans="4:8" ht="15">
      <c r="D608" s="196">
        <v>3350</v>
      </c>
      <c r="E608" s="196" t="s">
        <v>274</v>
      </c>
      <c r="F608" s="200">
        <v>267940</v>
      </c>
      <c r="G608" s="107">
        <f t="shared" si="19"/>
        <v>267940</v>
      </c>
      <c r="H608" s="108">
        <f t="shared" si="20"/>
        <v>0</v>
      </c>
    </row>
    <row r="609" spans="4:8" ht="15">
      <c r="D609" s="196">
        <v>24073</v>
      </c>
      <c r="E609" s="196" t="s">
        <v>275</v>
      </c>
      <c r="F609" s="200">
        <v>31042</v>
      </c>
      <c r="G609" s="107">
        <f t="shared" si="19"/>
        <v>31042</v>
      </c>
      <c r="H609" s="108">
        <f t="shared" si="20"/>
        <v>0</v>
      </c>
    </row>
    <row r="610" spans="4:8" ht="15">
      <c r="D610" s="196">
        <v>2100</v>
      </c>
      <c r="E610" s="196" t="s">
        <v>276</v>
      </c>
      <c r="F610" s="200">
        <v>29439</v>
      </c>
      <c r="G610" s="107">
        <f t="shared" si="19"/>
        <v>29439</v>
      </c>
      <c r="H610" s="108">
        <f t="shared" si="20"/>
        <v>0</v>
      </c>
    </row>
    <row r="611" spans="4:8" ht="15">
      <c r="D611" s="196">
        <v>2130</v>
      </c>
      <c r="E611" s="196" t="s">
        <v>277</v>
      </c>
      <c r="F611" s="200">
        <v>9501</v>
      </c>
      <c r="G611" s="107">
        <f t="shared" si="19"/>
        <v>9501</v>
      </c>
      <c r="H611" s="108">
        <f t="shared" si="20"/>
        <v>0</v>
      </c>
    </row>
    <row r="612" spans="4:8" ht="15">
      <c r="D612" s="196">
        <v>32099</v>
      </c>
      <c r="E612" s="196" t="s">
        <v>278</v>
      </c>
      <c r="F612" s="200">
        <v>11975</v>
      </c>
      <c r="G612" s="107">
        <f t="shared" si="19"/>
        <v>11975</v>
      </c>
      <c r="H612" s="108">
        <f t="shared" si="20"/>
        <v>0</v>
      </c>
    </row>
    <row r="613" spans="4:8" ht="15">
      <c r="D613" s="196">
        <v>32100</v>
      </c>
      <c r="E613" s="196" t="s">
        <v>279</v>
      </c>
      <c r="F613" s="200">
        <v>22885</v>
      </c>
      <c r="G613" s="107">
        <f t="shared" si="19"/>
        <v>22885</v>
      </c>
      <c r="H613" s="108">
        <f t="shared" si="20"/>
        <v>0</v>
      </c>
    </row>
    <row r="614" spans="4:8" ht="15">
      <c r="D614" s="196">
        <v>32101</v>
      </c>
      <c r="E614" s="196" t="s">
        <v>280</v>
      </c>
      <c r="F614" s="200">
        <v>8124</v>
      </c>
      <c r="G614" s="107">
        <f t="shared" si="19"/>
        <v>8124</v>
      </c>
      <c r="H614" s="108">
        <f t="shared" si="20"/>
        <v>0</v>
      </c>
    </row>
    <row r="615" spans="4:8" ht="15">
      <c r="D615" s="196">
        <v>32102</v>
      </c>
      <c r="E615" s="196" t="s">
        <v>281</v>
      </c>
      <c r="F615" s="200">
        <v>13236</v>
      </c>
      <c r="G615" s="107">
        <f t="shared" si="19"/>
        <v>13236</v>
      </c>
      <c r="H615" s="108">
        <f t="shared" si="20"/>
        <v>0</v>
      </c>
    </row>
    <row r="616" spans="4:8" ht="15">
      <c r="D616" s="196">
        <v>2880</v>
      </c>
      <c r="E616" s="196" t="s">
        <v>282</v>
      </c>
      <c r="F616" s="200">
        <v>4583</v>
      </c>
      <c r="G616" s="107">
        <f t="shared" si="19"/>
        <v>4583</v>
      </c>
      <c r="H616" s="108">
        <f t="shared" si="20"/>
        <v>0</v>
      </c>
    </row>
    <row r="617" spans="4:8" ht="15">
      <c r="D617" s="196">
        <v>2490</v>
      </c>
      <c r="E617" s="196" t="s">
        <v>283</v>
      </c>
      <c r="F617" s="200">
        <v>37419</v>
      </c>
      <c r="G617" s="107">
        <f t="shared" si="19"/>
        <v>37419</v>
      </c>
      <c r="H617" s="108">
        <f t="shared" si="20"/>
        <v>0</v>
      </c>
    </row>
    <row r="618" spans="4:8" ht="15">
      <c r="D618" s="196">
        <v>2530</v>
      </c>
      <c r="E618" s="196" t="s">
        <v>284</v>
      </c>
      <c r="F618" s="200">
        <v>7057</v>
      </c>
      <c r="G618" s="107">
        <f t="shared" si="19"/>
        <v>7057</v>
      </c>
      <c r="H618" s="108">
        <f t="shared" si="20"/>
        <v>0</v>
      </c>
    </row>
    <row r="619" spans="4:8" ht="15">
      <c r="D619" s="196">
        <v>2560</v>
      </c>
      <c r="E619" s="196" t="s">
        <v>285</v>
      </c>
      <c r="F619" s="200">
        <v>19825</v>
      </c>
      <c r="G619" s="107">
        <f t="shared" si="19"/>
        <v>19825</v>
      </c>
      <c r="H619" s="108">
        <f t="shared" si="20"/>
        <v>0</v>
      </c>
    </row>
    <row r="620" spans="4:8" ht="15">
      <c r="D620" s="196">
        <v>2610</v>
      </c>
      <c r="E620" s="196" t="s">
        <v>286</v>
      </c>
      <c r="F620" s="200">
        <v>3957</v>
      </c>
      <c r="G620" s="107">
        <f t="shared" si="19"/>
        <v>3957</v>
      </c>
      <c r="H620" s="108">
        <f t="shared" si="20"/>
        <v>0</v>
      </c>
    </row>
    <row r="621" spans="4:8" ht="15">
      <c r="D621" s="196">
        <v>2800</v>
      </c>
      <c r="E621" s="196" t="s">
        <v>287</v>
      </c>
      <c r="F621" s="200">
        <v>11841</v>
      </c>
      <c r="G621" s="107">
        <f t="shared" si="19"/>
        <v>11841</v>
      </c>
      <c r="H621" s="108">
        <f t="shared" si="20"/>
        <v>0</v>
      </c>
    </row>
    <row r="622" spans="4:8" ht="15">
      <c r="D622" s="196">
        <v>20317</v>
      </c>
      <c r="E622" s="196" t="s">
        <v>288</v>
      </c>
      <c r="F622" s="200">
        <v>19716</v>
      </c>
      <c r="G622" s="107">
        <f t="shared" si="19"/>
        <v>19716</v>
      </c>
      <c r="H622" s="108">
        <f t="shared" si="20"/>
        <v>0</v>
      </c>
    </row>
    <row r="623" spans="4:8" ht="15">
      <c r="D623" s="196">
        <v>2442</v>
      </c>
      <c r="E623" s="196" t="s">
        <v>415</v>
      </c>
      <c r="F623" s="200">
        <v>18324</v>
      </c>
      <c r="G623" s="107">
        <f t="shared" si="19"/>
        <v>18324</v>
      </c>
      <c r="H623" s="108">
        <f t="shared" si="20"/>
        <v>0</v>
      </c>
    </row>
    <row r="624" spans="4:8" ht="15">
      <c r="D624" s="196">
        <v>30090</v>
      </c>
      <c r="E624" s="196" t="s">
        <v>289</v>
      </c>
      <c r="F624" s="200">
        <v>35592</v>
      </c>
      <c r="G624" s="107">
        <f t="shared" si="19"/>
        <v>35592</v>
      </c>
      <c r="H624" s="108">
        <f t="shared" si="20"/>
        <v>0</v>
      </c>
    </row>
    <row r="625" spans="4:8" ht="15">
      <c r="D625" s="196">
        <v>29330</v>
      </c>
      <c r="E625" s="196" t="s">
        <v>290</v>
      </c>
      <c r="F625" s="200">
        <v>17820</v>
      </c>
      <c r="G625" s="107">
        <f t="shared" si="19"/>
        <v>17820</v>
      </c>
      <c r="H625" s="108">
        <f t="shared" si="20"/>
        <v>0</v>
      </c>
    </row>
    <row r="626" spans="4:8" ht="15">
      <c r="D626" s="196">
        <v>12038</v>
      </c>
      <c r="E626" s="196" t="s">
        <v>291</v>
      </c>
      <c r="F626" s="200">
        <v>301499</v>
      </c>
      <c r="G626" s="107">
        <f t="shared" si="19"/>
        <v>301499</v>
      </c>
      <c r="H626" s="108">
        <f t="shared" si="20"/>
        <v>0</v>
      </c>
    </row>
    <row r="627" spans="4:8">
      <c r="D627" s="5">
        <v>8099</v>
      </c>
      <c r="E627" s="5" t="s">
        <v>292</v>
      </c>
      <c r="F627" s="108">
        <v>537109</v>
      </c>
      <c r="G627" s="107">
        <f t="shared" si="19"/>
        <v>537109</v>
      </c>
      <c r="H627" s="108">
        <f t="shared" si="20"/>
        <v>0</v>
      </c>
    </row>
    <row r="628" spans="4:8">
      <c r="D628" s="5">
        <v>2417</v>
      </c>
      <c r="E628" s="5" t="s">
        <v>293</v>
      </c>
      <c r="F628" s="194">
        <v>10479</v>
      </c>
      <c r="G628" s="107">
        <f t="shared" si="19"/>
        <v>10479</v>
      </c>
      <c r="H628" s="108">
        <f t="shared" si="20"/>
        <v>0</v>
      </c>
    </row>
    <row r="629" spans="4:8">
      <c r="D629" s="5">
        <v>13142</v>
      </c>
      <c r="E629" s="5" t="s">
        <v>294</v>
      </c>
      <c r="F629" s="194">
        <v>328450</v>
      </c>
      <c r="G629" s="107">
        <f t="shared" si="19"/>
        <v>328450</v>
      </c>
      <c r="H629" s="108">
        <f t="shared" si="20"/>
        <v>0</v>
      </c>
    </row>
    <row r="630" spans="4:8">
      <c r="F630" s="211">
        <f>SUM(F322:F629)</f>
        <v>127360721</v>
      </c>
    </row>
    <row r="631" spans="4:8">
      <c r="F631" s="211">
        <f>+C316</f>
        <v>127360721</v>
      </c>
    </row>
    <row r="632" spans="4:8">
      <c r="F632" s="211">
        <f>+F630-F631</f>
        <v>0</v>
      </c>
    </row>
  </sheetData>
  <mergeCells count="3">
    <mergeCell ref="A1:D1"/>
    <mergeCell ref="A2:D2"/>
    <mergeCell ref="A3:D3"/>
  </mergeCells>
  <printOptions horizontalCentered="1"/>
  <pageMargins left="0.7" right="0.7" top="0.5" bottom="0.5" header="0.5" footer="0.5"/>
  <pageSetup scale="73" firstPageNumber="4" orientation="portrait" useFirstPageNumber="1" r:id="rId1"/>
  <headerFooter scaleWithDoc="0">
    <oddFooter>&amp;C&amp;"Arial,Regular"&amp;10&amp;P</oddFooter>
    <evenHeader xml:space="preserve">&amp;L&amp;"Arial,Bold"&amp;12
</evenHeader>
    <evenFooter>&amp;R&amp;"Arial,Regular"&amp;10&amp;P</evenFooter>
  </headerFooter>
  <rowBreaks count="4" manualBreakCount="4">
    <brk id="72" max="3" man="1"/>
    <brk id="136" max="3" man="1"/>
    <brk id="199" max="3" man="1"/>
    <brk id="258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2D5C-EC6D-445B-991D-89C0747B4EA8}">
  <sheetPr>
    <tabColor rgb="FF92D050"/>
  </sheetPr>
  <dimension ref="A3:D17"/>
  <sheetViews>
    <sheetView workbookViewId="0">
      <selection activeCell="B143" sqref="B143"/>
    </sheetView>
  </sheetViews>
  <sheetFormatPr defaultRowHeight="15"/>
  <cols>
    <col min="1" max="1" width="3.42578125" customWidth="1"/>
    <col min="2" max="2" width="33.42578125" bestFit="1" customWidth="1"/>
    <col min="3" max="3" width="10.5703125" customWidth="1"/>
    <col min="4" max="4" width="13.7109375" customWidth="1"/>
  </cols>
  <sheetData>
    <row r="3" spans="1:4">
      <c r="A3" s="173" t="s">
        <v>433</v>
      </c>
      <c r="B3" s="174"/>
      <c r="C3" s="174"/>
      <c r="D3" s="175"/>
    </row>
    <row r="4" spans="1:4">
      <c r="A4" s="174"/>
      <c r="B4" s="78" t="s">
        <v>434</v>
      </c>
      <c r="C4" s="174"/>
      <c r="D4" s="193">
        <v>50813</v>
      </c>
    </row>
    <row r="5" spans="1:4">
      <c r="A5" s="174"/>
      <c r="B5" s="78" t="s">
        <v>435</v>
      </c>
      <c r="C5" s="174"/>
      <c r="D5" s="193">
        <v>14005</v>
      </c>
    </row>
    <row r="6" spans="1:4">
      <c r="A6" s="174"/>
      <c r="B6" s="78" t="s">
        <v>436</v>
      </c>
      <c r="C6" s="174"/>
      <c r="D6" s="192">
        <v>98861</v>
      </c>
    </row>
    <row r="7" spans="1:4" ht="15.75" thickBot="1">
      <c r="A7" s="174"/>
      <c r="B7" s="174"/>
      <c r="C7" s="174"/>
      <c r="D7" s="176">
        <f>SUM(D4:D6)</f>
        <v>163679</v>
      </c>
    </row>
    <row r="8" spans="1:4" ht="15.75" thickTop="1"/>
    <row r="9" spans="1:4">
      <c r="A9" s="177" t="s">
        <v>437</v>
      </c>
      <c r="B9" s="174"/>
      <c r="C9" s="174"/>
      <c r="D9" s="178"/>
    </row>
    <row r="10" spans="1:4">
      <c r="A10" s="174"/>
      <c r="B10" s="78" t="s">
        <v>438</v>
      </c>
      <c r="C10" s="174"/>
      <c r="D10" s="193">
        <v>18815</v>
      </c>
    </row>
    <row r="11" spans="1:4">
      <c r="A11" s="174"/>
      <c r="B11" s="78" t="s">
        <v>439</v>
      </c>
      <c r="C11" s="174"/>
      <c r="D11" s="193">
        <v>2509</v>
      </c>
    </row>
    <row r="12" spans="1:4">
      <c r="A12" s="174"/>
      <c r="B12" s="78" t="s">
        <v>440</v>
      </c>
      <c r="C12" s="174"/>
      <c r="D12" s="193">
        <v>17821</v>
      </c>
    </row>
    <row r="13" spans="1:4">
      <c r="A13" s="174"/>
      <c r="B13" s="78" t="s">
        <v>441</v>
      </c>
      <c r="C13" s="174"/>
      <c r="D13" s="193">
        <v>3390</v>
      </c>
    </row>
    <row r="14" spans="1:4">
      <c r="A14" s="174"/>
      <c r="B14" s="78" t="s">
        <v>442</v>
      </c>
      <c r="C14" s="174"/>
      <c r="D14" s="193">
        <v>2736</v>
      </c>
    </row>
    <row r="15" spans="1:4">
      <c r="A15" s="174"/>
      <c r="B15" s="78" t="s">
        <v>443</v>
      </c>
      <c r="C15" s="174"/>
      <c r="D15" s="192">
        <v>53590</v>
      </c>
    </row>
    <row r="16" spans="1:4" ht="15.75" thickBot="1">
      <c r="A16" s="174"/>
      <c r="B16" s="174"/>
      <c r="C16" s="174"/>
      <c r="D16" s="176">
        <f>SUM(D10:D15)</f>
        <v>98861</v>
      </c>
    </row>
    <row r="17" ht="15.75" thickTop="1"/>
  </sheetData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E27"/>
  <sheetViews>
    <sheetView workbookViewId="0">
      <selection activeCell="B143" sqref="B143"/>
    </sheetView>
  </sheetViews>
  <sheetFormatPr defaultRowHeight="15"/>
  <cols>
    <col min="1" max="3" width="2.5703125" customWidth="1"/>
    <col min="4" max="4" width="25.5703125" customWidth="1"/>
    <col min="5" max="5" width="52.42578125" customWidth="1"/>
  </cols>
  <sheetData>
    <row r="2" spans="1:5" ht="15" customHeight="1">
      <c r="A2" s="236" t="s">
        <v>400</v>
      </c>
      <c r="B2" s="236"/>
      <c r="C2" s="236"/>
      <c r="D2" s="236"/>
      <c r="E2" s="239" t="s">
        <v>471</v>
      </c>
    </row>
    <row r="3" spans="1:5" ht="8.1" customHeight="1">
      <c r="A3" s="236"/>
      <c r="B3" s="236"/>
      <c r="C3" s="236"/>
      <c r="D3" s="236"/>
      <c r="E3" s="236"/>
    </row>
    <row r="4" spans="1:5" ht="15" customHeight="1">
      <c r="A4" s="276" t="s">
        <v>332</v>
      </c>
      <c r="B4" s="276"/>
      <c r="C4" s="276"/>
      <c r="D4" s="277"/>
      <c r="E4" s="278" t="s">
        <v>333</v>
      </c>
    </row>
    <row r="5" spans="1:5" ht="15" customHeight="1">
      <c r="A5" s="276"/>
      <c r="B5" s="276"/>
      <c r="C5" s="276"/>
      <c r="D5" s="276"/>
      <c r="E5" s="278" t="s">
        <v>334</v>
      </c>
    </row>
    <row r="6" spans="1:5" ht="8.1" customHeight="1">
      <c r="A6" s="276" t="s">
        <v>331</v>
      </c>
      <c r="B6" s="276"/>
      <c r="C6" s="276"/>
      <c r="D6" s="276"/>
      <c r="E6" s="277"/>
    </row>
    <row r="7" spans="1:5" ht="15" customHeight="1">
      <c r="A7" s="276" t="s">
        <v>335</v>
      </c>
      <c r="B7" s="277"/>
      <c r="C7" s="277"/>
      <c r="D7" s="277"/>
      <c r="E7" s="278" t="s">
        <v>336</v>
      </c>
    </row>
    <row r="8" spans="1:5" ht="8.1" customHeight="1">
      <c r="A8" s="276"/>
      <c r="B8" s="276"/>
      <c r="C8" s="276"/>
      <c r="D8" s="276"/>
      <c r="E8" s="277"/>
    </row>
    <row r="9" spans="1:5" ht="15" customHeight="1">
      <c r="A9" s="278" t="s">
        <v>465</v>
      </c>
      <c r="B9" s="277"/>
      <c r="C9" s="277"/>
      <c r="D9" s="277"/>
      <c r="E9" s="277"/>
    </row>
    <row r="10" spans="1:5" ht="15" customHeight="1">
      <c r="A10" s="277"/>
      <c r="B10" s="278" t="s">
        <v>337</v>
      </c>
      <c r="C10" s="277"/>
      <c r="D10" s="277"/>
      <c r="E10" s="279" t="s">
        <v>418</v>
      </c>
    </row>
    <row r="11" spans="1:5" ht="15" customHeight="1">
      <c r="A11" s="277"/>
      <c r="B11" s="278" t="s">
        <v>356</v>
      </c>
      <c r="C11" s="277"/>
      <c r="D11" s="277"/>
      <c r="E11" s="279" t="s">
        <v>804</v>
      </c>
    </row>
    <row r="12" spans="1:5" ht="15" customHeight="1">
      <c r="A12" s="277"/>
      <c r="B12" s="278"/>
      <c r="C12" s="277"/>
      <c r="D12" s="277"/>
      <c r="E12" s="279" t="s">
        <v>385</v>
      </c>
    </row>
    <row r="13" spans="1:5" ht="15" customHeight="1">
      <c r="A13" s="236"/>
      <c r="B13" s="278" t="s">
        <v>338</v>
      </c>
      <c r="C13" s="277"/>
      <c r="D13" s="277"/>
      <c r="E13" s="279" t="s">
        <v>805</v>
      </c>
    </row>
    <row r="14" spans="1:5" ht="15" customHeight="1">
      <c r="A14" s="236"/>
      <c r="B14" s="277"/>
      <c r="C14" s="277"/>
      <c r="D14" s="277"/>
      <c r="E14" s="279" t="s">
        <v>339</v>
      </c>
    </row>
    <row r="15" spans="1:5" ht="15" customHeight="1">
      <c r="A15" s="236"/>
      <c r="B15" s="278" t="s">
        <v>357</v>
      </c>
      <c r="C15" s="277"/>
      <c r="D15" s="277"/>
      <c r="E15" s="279" t="s">
        <v>806</v>
      </c>
    </row>
    <row r="16" spans="1:5" ht="15" customHeight="1">
      <c r="A16" s="236"/>
      <c r="B16" s="277"/>
      <c r="C16" s="277"/>
      <c r="D16" s="277"/>
      <c r="E16" s="279" t="s">
        <v>466</v>
      </c>
    </row>
    <row r="17" spans="1:5" ht="15" customHeight="1">
      <c r="A17" s="236"/>
      <c r="B17" s="277"/>
      <c r="C17" s="277"/>
      <c r="D17" s="277"/>
      <c r="E17" s="279" t="s">
        <v>447</v>
      </c>
    </row>
    <row r="18" spans="1:5" ht="15" customHeight="1">
      <c r="A18" s="236"/>
      <c r="B18" s="278" t="s">
        <v>361</v>
      </c>
      <c r="C18" s="236"/>
      <c r="D18" s="236"/>
      <c r="E18" s="280" t="s">
        <v>807</v>
      </c>
    </row>
    <row r="19" spans="1:5" ht="15" customHeight="1">
      <c r="A19" s="236"/>
      <c r="B19" s="236"/>
      <c r="C19" s="236"/>
      <c r="D19" s="236"/>
      <c r="E19" s="280" t="s">
        <v>808</v>
      </c>
    </row>
    <row r="20" spans="1:5" ht="15" customHeight="1">
      <c r="A20" s="236"/>
      <c r="B20" s="236"/>
      <c r="C20" s="236"/>
      <c r="D20" s="236"/>
      <c r="E20" s="280" t="s">
        <v>809</v>
      </c>
    </row>
    <row r="21" spans="1:5" ht="15" customHeight="1">
      <c r="A21" s="236"/>
      <c r="B21" s="236"/>
      <c r="C21" s="236"/>
      <c r="D21" s="236"/>
      <c r="E21" s="280" t="s">
        <v>810</v>
      </c>
    </row>
    <row r="22" spans="1:5" ht="15" customHeight="1">
      <c r="A22" s="236"/>
      <c r="B22" s="236"/>
      <c r="C22" s="236"/>
      <c r="D22" s="236"/>
      <c r="E22" s="280" t="s">
        <v>811</v>
      </c>
    </row>
    <row r="23" spans="1:5" ht="15" customHeight="1">
      <c r="A23" s="236"/>
      <c r="B23" s="236"/>
      <c r="C23" s="236"/>
      <c r="D23" s="236"/>
      <c r="E23" s="280" t="s">
        <v>815</v>
      </c>
    </row>
    <row r="24" spans="1:5" ht="15" customHeight="1">
      <c r="A24" s="236"/>
      <c r="B24" s="236"/>
      <c r="C24" s="236"/>
      <c r="D24" s="236"/>
      <c r="E24" s="280" t="s">
        <v>812</v>
      </c>
    </row>
    <row r="25" spans="1:5" ht="15" customHeight="1">
      <c r="A25" s="236"/>
      <c r="B25" s="236"/>
      <c r="C25" s="236"/>
      <c r="D25" s="236"/>
      <c r="E25" s="281" t="s">
        <v>816</v>
      </c>
    </row>
    <row r="26" spans="1:5">
      <c r="A26" s="236"/>
      <c r="B26" s="236"/>
      <c r="C26" s="236"/>
      <c r="D26" s="236"/>
      <c r="E26" s="280" t="s">
        <v>813</v>
      </c>
    </row>
    <row r="27" spans="1:5">
      <c r="A27" s="236"/>
      <c r="B27" s="236"/>
      <c r="C27" s="236"/>
      <c r="D27" s="236"/>
      <c r="E27" s="280" t="s">
        <v>814</v>
      </c>
    </row>
  </sheetData>
  <pageMargins left="0.7" right="0.7" top="0.75" bottom="0.75" header="0.3" footer="0.3"/>
  <pageSetup orientation="portrait" r:id="rId1"/>
  <customProperties>
    <customPr name="OrphanNamesChecke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I10"/>
  <sheetViews>
    <sheetView workbookViewId="0">
      <selection activeCell="B143" sqref="B143"/>
    </sheetView>
  </sheetViews>
  <sheetFormatPr defaultRowHeight="15"/>
  <cols>
    <col min="1" max="3" width="3.42578125" customWidth="1"/>
    <col min="5" max="5" width="28.42578125" customWidth="1"/>
    <col min="6" max="6" width="16.42578125" bestFit="1" customWidth="1"/>
    <col min="8" max="8" width="15.42578125" bestFit="1" customWidth="1"/>
  </cols>
  <sheetData>
    <row r="2" spans="1:9">
      <c r="A2" s="74"/>
      <c r="B2" s="74"/>
      <c r="C2" s="74"/>
      <c r="D2" s="74"/>
      <c r="E2" s="74"/>
      <c r="F2" s="215"/>
    </row>
    <row r="3" spans="1:9">
      <c r="A3" s="74"/>
      <c r="B3" s="74"/>
      <c r="C3" s="74"/>
      <c r="D3" s="74"/>
      <c r="E3" s="74"/>
      <c r="F3" s="76"/>
    </row>
    <row r="4" spans="1:9">
      <c r="A4" s="75" t="s">
        <v>340</v>
      </c>
      <c r="B4" s="74"/>
      <c r="C4" s="74"/>
      <c r="D4" s="74"/>
      <c r="E4" s="74"/>
      <c r="F4" s="225">
        <v>3422408572</v>
      </c>
    </row>
    <row r="5" spans="1:9">
      <c r="A5" s="75" t="s">
        <v>341</v>
      </c>
      <c r="B5" s="74"/>
      <c r="C5" s="74"/>
      <c r="D5" s="74"/>
      <c r="E5" s="74"/>
      <c r="F5" s="226">
        <v>1865731998</v>
      </c>
    </row>
    <row r="6" spans="1:9">
      <c r="A6" s="75"/>
      <c r="B6" s="74"/>
      <c r="C6" s="74"/>
      <c r="D6" s="74"/>
      <c r="E6" s="74"/>
      <c r="F6" s="149"/>
      <c r="H6" t="s">
        <v>372</v>
      </c>
    </row>
    <row r="7" spans="1:9" ht="15.75" thickBot="1">
      <c r="A7" s="75" t="s">
        <v>342</v>
      </c>
      <c r="B7" s="74"/>
      <c r="C7" s="74"/>
      <c r="D7" s="74"/>
      <c r="E7" s="74"/>
      <c r="F7" s="224">
        <f>+F4-F5</f>
        <v>1556676574</v>
      </c>
      <c r="H7" s="113">
        <f>+'OPEB Amounts_Report'!C321</f>
        <v>1556676574</v>
      </c>
      <c r="I7" s="113">
        <f>+F7-H7</f>
        <v>0</v>
      </c>
    </row>
    <row r="8" spans="1:9" ht="15.75" thickTop="1">
      <c r="A8" s="74"/>
      <c r="B8" s="74"/>
      <c r="C8" s="74"/>
      <c r="D8" s="74"/>
      <c r="E8" s="74"/>
      <c r="F8" s="74"/>
    </row>
    <row r="9" spans="1:9">
      <c r="A9" s="75" t="s">
        <v>343</v>
      </c>
      <c r="B9" s="74"/>
      <c r="C9" s="74"/>
      <c r="D9" s="74"/>
      <c r="E9" s="74"/>
      <c r="F9" s="74"/>
    </row>
    <row r="10" spans="1:9">
      <c r="A10" s="75" t="s">
        <v>448</v>
      </c>
      <c r="B10" s="74"/>
      <c r="C10" s="74"/>
      <c r="D10" s="74"/>
      <c r="E10" s="74"/>
      <c r="F10" s="77">
        <f>F5/F4</f>
        <v>0.54515174291703472</v>
      </c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E12"/>
  <sheetViews>
    <sheetView workbookViewId="0">
      <selection activeCell="B143" sqref="B143"/>
    </sheetView>
  </sheetViews>
  <sheetFormatPr defaultRowHeight="15"/>
  <cols>
    <col min="1" max="1" width="28" bestFit="1" customWidth="1"/>
    <col min="2" max="2" width="2.5703125" customWidth="1"/>
    <col min="3" max="3" width="13" customWidth="1"/>
    <col min="4" max="4" width="2.5703125" customWidth="1"/>
    <col min="5" max="6" width="13" customWidth="1"/>
  </cols>
  <sheetData>
    <row r="1" spans="1:5">
      <c r="A1" s="74"/>
      <c r="B1" s="74"/>
      <c r="C1" s="79" t="s">
        <v>362</v>
      </c>
      <c r="D1" s="74"/>
      <c r="E1" s="79" t="s">
        <v>350</v>
      </c>
    </row>
    <row r="2" spans="1:5">
      <c r="A2" s="80" t="s">
        <v>344</v>
      </c>
      <c r="B2" s="74"/>
      <c r="C2" s="80" t="s">
        <v>363</v>
      </c>
      <c r="D2" s="74"/>
      <c r="E2" s="80" t="s">
        <v>345</v>
      </c>
    </row>
    <row r="3" spans="1:5" ht="24" customHeight="1">
      <c r="A3" s="177" t="s">
        <v>912</v>
      </c>
      <c r="B3" s="74"/>
      <c r="C3" s="190">
        <v>0.2</v>
      </c>
      <c r="D3" s="74"/>
      <c r="E3" s="191">
        <v>1.9E-2</v>
      </c>
    </row>
    <row r="4" spans="1:5">
      <c r="A4" s="78" t="s">
        <v>346</v>
      </c>
      <c r="B4" s="74"/>
      <c r="C4" s="190">
        <v>0.19</v>
      </c>
      <c r="D4" s="74"/>
      <c r="E4" s="191">
        <v>5.8999999999999997E-2</v>
      </c>
    </row>
    <row r="5" spans="1:5">
      <c r="A5" s="78" t="s">
        <v>913</v>
      </c>
      <c r="B5" s="74"/>
      <c r="C5" s="190">
        <v>0.12</v>
      </c>
      <c r="D5" s="74"/>
      <c r="E5" s="191">
        <v>6.2E-2</v>
      </c>
    </row>
    <row r="6" spans="1:5">
      <c r="A6" s="78" t="s">
        <v>817</v>
      </c>
      <c r="B6" s="74"/>
      <c r="C6" s="190">
        <v>0.12</v>
      </c>
      <c r="D6" s="74"/>
      <c r="E6" s="191">
        <v>6.0999999999999999E-2</v>
      </c>
    </row>
    <row r="7" spans="1:5">
      <c r="A7" s="78" t="s">
        <v>347</v>
      </c>
      <c r="B7" s="74"/>
      <c r="C7" s="190">
        <v>0.11</v>
      </c>
      <c r="D7" s="74"/>
      <c r="E7" s="191">
        <v>9.6500000000000002E-2</v>
      </c>
    </row>
    <row r="8" spans="1:5">
      <c r="A8" s="78" t="s">
        <v>348</v>
      </c>
      <c r="B8" s="74"/>
      <c r="C8" s="190">
        <v>0.1</v>
      </c>
      <c r="D8" s="74"/>
      <c r="E8" s="191">
        <v>3.5000000000000003E-2</v>
      </c>
    </row>
    <row r="9" spans="1:5">
      <c r="A9" s="78" t="s">
        <v>818</v>
      </c>
      <c r="C9" s="235">
        <v>0.05</v>
      </c>
      <c r="E9" s="191">
        <v>1.0999999999999999E-2</v>
      </c>
    </row>
    <row r="10" spans="1:5">
      <c r="A10" s="78" t="s">
        <v>461</v>
      </c>
      <c r="B10" s="74"/>
      <c r="C10" s="190">
        <v>0.05</v>
      </c>
      <c r="D10" s="74"/>
      <c r="E10" s="191">
        <v>0.04</v>
      </c>
    </row>
    <row r="11" spans="1:5">
      <c r="A11" s="78" t="s">
        <v>349</v>
      </c>
      <c r="B11" s="75"/>
      <c r="C11" s="190">
        <v>0.03</v>
      </c>
      <c r="D11" s="75"/>
      <c r="E11" s="191">
        <v>6.7000000000000004E-2</v>
      </c>
    </row>
    <row r="12" spans="1:5">
      <c r="A12" s="78" t="s">
        <v>914</v>
      </c>
      <c r="B12" s="74"/>
      <c r="C12" s="190">
        <v>0.03</v>
      </c>
      <c r="D12" s="74"/>
      <c r="E12" s="191">
        <v>7.3999999999999996E-2</v>
      </c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2:F9"/>
  <sheetViews>
    <sheetView workbookViewId="0">
      <selection activeCell="B143" sqref="B143"/>
    </sheetView>
  </sheetViews>
  <sheetFormatPr defaultRowHeight="15"/>
  <cols>
    <col min="1" max="1" width="2.42578125" customWidth="1"/>
    <col min="2" max="2" width="15.5703125" customWidth="1"/>
    <col min="3" max="3" width="2.42578125" customWidth="1"/>
    <col min="4" max="4" width="15.5703125" customWidth="1"/>
    <col min="5" max="5" width="2.42578125" customWidth="1"/>
    <col min="6" max="6" width="15.5703125" customWidth="1"/>
  </cols>
  <sheetData>
    <row r="2" spans="2:6">
      <c r="B2" s="79" t="s">
        <v>351</v>
      </c>
      <c r="C2" s="74"/>
      <c r="D2" s="79" t="s">
        <v>352</v>
      </c>
      <c r="E2" s="74"/>
      <c r="F2" s="79" t="s">
        <v>353</v>
      </c>
    </row>
    <row r="3" spans="2:6">
      <c r="B3" s="169" t="s">
        <v>819</v>
      </c>
      <c r="C3" s="170"/>
      <c r="D3" s="169" t="s">
        <v>820</v>
      </c>
      <c r="E3" s="170"/>
      <c r="F3" s="169" t="s">
        <v>821</v>
      </c>
    </row>
    <row r="4" spans="2:6" ht="24" customHeight="1">
      <c r="B4" s="171">
        <v>1996155284</v>
      </c>
      <c r="C4" s="19"/>
      <c r="D4" s="171">
        <v>1556676574</v>
      </c>
      <c r="E4" s="19"/>
      <c r="F4" s="171">
        <v>1190599579</v>
      </c>
    </row>
    <row r="7" spans="2:6">
      <c r="B7" s="79"/>
      <c r="C7" s="74"/>
      <c r="D7" s="79" t="s">
        <v>354</v>
      </c>
      <c r="E7" s="74"/>
      <c r="F7" s="79"/>
    </row>
    <row r="8" spans="2:6">
      <c r="B8" s="80" t="s">
        <v>351</v>
      </c>
      <c r="C8" s="74"/>
      <c r="D8" s="81" t="s">
        <v>355</v>
      </c>
      <c r="E8" s="74"/>
      <c r="F8" s="80" t="s">
        <v>353</v>
      </c>
    </row>
    <row r="9" spans="2:6" ht="24" customHeight="1">
      <c r="B9" s="171">
        <v>1157265150</v>
      </c>
      <c r="C9" s="172"/>
      <c r="D9" s="171">
        <f>+D4</f>
        <v>1556676574</v>
      </c>
      <c r="E9" s="172"/>
      <c r="F9" s="171">
        <v>2045917424</v>
      </c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L25"/>
  <sheetViews>
    <sheetView workbookViewId="0">
      <selection activeCell="B143" sqref="B143"/>
    </sheetView>
  </sheetViews>
  <sheetFormatPr defaultColWidth="8.5703125" defaultRowHeight="12.75"/>
  <cols>
    <col min="1" max="4" width="2.42578125" style="19" customWidth="1"/>
    <col min="5" max="5" width="45.42578125" style="19" customWidth="1"/>
    <col min="6" max="6" width="18.7109375" style="19" customWidth="1"/>
    <col min="7" max="7" width="8.5703125" style="19" customWidth="1"/>
    <col min="8" max="8" width="16.5703125" style="19" bestFit="1" customWidth="1"/>
    <col min="9" max="9" width="10.42578125" style="19" bestFit="1" customWidth="1"/>
    <col min="10" max="10" width="14.5703125" style="19" customWidth="1"/>
    <col min="11" max="11" width="8.5703125" style="19"/>
    <col min="12" max="12" width="14.5703125" style="19" bestFit="1" customWidth="1"/>
    <col min="13" max="16384" width="8.5703125" style="19"/>
  </cols>
  <sheetData>
    <row r="1" spans="1:12" ht="13.5" customHeight="1">
      <c r="A1" s="19" t="s">
        <v>388</v>
      </c>
      <c r="F1" s="229">
        <v>74114233</v>
      </c>
      <c r="H1" s="123">
        <v>91535036</v>
      </c>
      <c r="J1" s="60">
        <v>155314732</v>
      </c>
      <c r="K1" s="189" t="s">
        <v>374</v>
      </c>
    </row>
    <row r="2" spans="1:12" ht="13.5" customHeight="1">
      <c r="A2" s="19" t="s">
        <v>304</v>
      </c>
      <c r="F2" s="205">
        <v>236114998</v>
      </c>
      <c r="H2" s="125">
        <v>190482868</v>
      </c>
      <c r="J2" s="60">
        <v>163469038</v>
      </c>
    </row>
    <row r="3" spans="1:12" ht="13.5" customHeight="1">
      <c r="A3" s="19" t="s">
        <v>462</v>
      </c>
      <c r="F3" s="205">
        <v>-43364912</v>
      </c>
      <c r="H3" s="125"/>
      <c r="J3" s="60"/>
    </row>
    <row r="4" spans="1:12" ht="13.5" customHeight="1">
      <c r="A4" s="19" t="s">
        <v>302</v>
      </c>
      <c r="F4" s="155"/>
      <c r="J4" s="60"/>
    </row>
    <row r="5" spans="1:12" ht="13.5" customHeight="1">
      <c r="B5" s="19" t="s">
        <v>307</v>
      </c>
      <c r="F5" s="205">
        <v>-30952761</v>
      </c>
      <c r="H5" s="125">
        <v>-30602697</v>
      </c>
      <c r="J5" s="60">
        <v>-6132812</v>
      </c>
    </row>
    <row r="6" spans="1:12" ht="13.5" customHeight="1">
      <c r="A6" s="19" t="s">
        <v>308</v>
      </c>
      <c r="F6" s="228"/>
      <c r="H6" s="60"/>
      <c r="J6" s="60"/>
    </row>
    <row r="7" spans="1:12" ht="13.5" customHeight="1">
      <c r="B7" s="19" t="s">
        <v>309</v>
      </c>
      <c r="F7" s="205">
        <v>18254317</v>
      </c>
      <c r="H7" s="125">
        <v>-73262389</v>
      </c>
      <c r="J7" s="60">
        <v>-191075679</v>
      </c>
    </row>
    <row r="8" spans="1:12" ht="13.5" customHeight="1">
      <c r="A8" s="19" t="s">
        <v>305</v>
      </c>
      <c r="F8" s="205">
        <v>-67806694</v>
      </c>
      <c r="H8" s="125">
        <v>-57271226</v>
      </c>
      <c r="J8" s="60">
        <v>-50810510</v>
      </c>
    </row>
    <row r="9" spans="1:12" ht="13.5" customHeight="1">
      <c r="A9" s="19" t="s">
        <v>306</v>
      </c>
      <c r="F9" s="205">
        <v>-114686278</v>
      </c>
      <c r="H9" s="125">
        <v>-85070997</v>
      </c>
      <c r="J9" s="60">
        <v>-81365852</v>
      </c>
    </row>
    <row r="10" spans="1:12" ht="13.5" customHeight="1">
      <c r="A10" s="19" t="s">
        <v>303</v>
      </c>
      <c r="F10" s="205"/>
      <c r="H10" s="125"/>
      <c r="J10" s="60"/>
    </row>
    <row r="11" spans="1:12" ht="13.5" customHeight="1">
      <c r="B11" s="19" t="s">
        <v>310</v>
      </c>
      <c r="F11" s="205">
        <v>-11252352</v>
      </c>
      <c r="H11" s="125">
        <v>2649758</v>
      </c>
      <c r="J11" s="60">
        <v>26181891</v>
      </c>
    </row>
    <row r="12" spans="1:12" ht="13.5" customHeight="1">
      <c r="A12" s="19" t="s">
        <v>390</v>
      </c>
      <c r="F12" s="205">
        <f>3699016-51048666</f>
        <v>-47349650</v>
      </c>
      <c r="H12" s="125">
        <f>3105864-40467236</f>
        <v>-37361372</v>
      </c>
      <c r="J12" s="60">
        <v>-33120238</v>
      </c>
    </row>
    <row r="13" spans="1:12" ht="13.5" customHeight="1">
      <c r="A13" s="19" t="s">
        <v>419</v>
      </c>
      <c r="F13" s="205"/>
      <c r="H13" s="125"/>
      <c r="J13" s="60"/>
    </row>
    <row r="14" spans="1:12" ht="13.5" customHeight="1">
      <c r="B14" s="19" t="s">
        <v>389</v>
      </c>
      <c r="F14" s="205">
        <v>235541593</v>
      </c>
      <c r="H14" s="125">
        <v>212234880</v>
      </c>
      <c r="J14" s="125">
        <v>186052988</v>
      </c>
    </row>
    <row r="15" spans="1:12" ht="13.5" customHeight="1">
      <c r="A15" s="19" t="s">
        <v>376</v>
      </c>
      <c r="F15" s="205"/>
      <c r="H15" s="125"/>
      <c r="J15" s="60"/>
    </row>
    <row r="16" spans="1:12" ht="13.5" customHeight="1">
      <c r="B16" s="19" t="s">
        <v>389</v>
      </c>
      <c r="F16" s="207">
        <v>-514804442</v>
      </c>
      <c r="H16" s="202">
        <f>-678060732-194672</f>
        <v>-678255404</v>
      </c>
      <c r="J16" s="202">
        <f>-654618985-194672</f>
        <v>-654813657</v>
      </c>
      <c r="L16" s="127"/>
    </row>
    <row r="17" spans="1:12" ht="13.5" customHeight="1">
      <c r="F17" s="101"/>
      <c r="H17" s="101"/>
    </row>
    <row r="18" spans="1:12" ht="13.5" customHeight="1" thickBot="1">
      <c r="A18" s="19" t="s">
        <v>387</v>
      </c>
      <c r="F18" s="227">
        <f>SUM(F1:F16)</f>
        <v>-266191948</v>
      </c>
      <c r="H18" s="118">
        <f>SUM(H1:H16)</f>
        <v>-464921543</v>
      </c>
      <c r="J18" s="118">
        <f>SUM(J1:J16)</f>
        <v>-486300099</v>
      </c>
      <c r="L18" s="61">
        <f>F18-H18</f>
        <v>198729595</v>
      </c>
    </row>
    <row r="19" spans="1:12" ht="13.5" customHeight="1" thickTop="1"/>
    <row r="20" spans="1:12" ht="13.5" customHeight="1"/>
    <row r="25" spans="1:12">
      <c r="F25" s="130">
        <f>+F18-'OPEB Amounts_Report'!Q321</f>
        <v>0</v>
      </c>
      <c r="H25" s="130"/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E64"/>
  <sheetViews>
    <sheetView topLeftCell="A17" zoomScaleNormal="100" workbookViewId="0">
      <selection activeCell="B143" sqref="B143"/>
    </sheetView>
  </sheetViews>
  <sheetFormatPr defaultColWidth="8.5703125" defaultRowHeight="12.75"/>
  <cols>
    <col min="1" max="1" width="2.5703125" style="19" customWidth="1"/>
    <col min="2" max="3" width="2.42578125" style="19" customWidth="1"/>
    <col min="4" max="4" width="26" style="19" customWidth="1"/>
    <col min="5" max="5" width="2.42578125" style="19" customWidth="1"/>
    <col min="6" max="6" width="7.5703125" style="19" bestFit="1" customWidth="1"/>
    <col min="7" max="7" width="1.42578125" style="19" customWidth="1"/>
    <col min="8" max="8" width="11.5703125" style="19" customWidth="1"/>
    <col min="9" max="9" width="1.42578125" style="19" customWidth="1"/>
    <col min="10" max="10" width="15.42578125" style="19" bestFit="1" customWidth="1"/>
    <col min="11" max="11" width="1.42578125" style="19" customWidth="1"/>
    <col min="12" max="12" width="15.42578125" style="19" bestFit="1" customWidth="1"/>
    <col min="13" max="13" width="1.42578125" style="19" customWidth="1"/>
    <col min="14" max="14" width="14.42578125" style="19" bestFit="1" customWidth="1"/>
    <col min="15" max="15" width="1.42578125" style="19" customWidth="1"/>
    <col min="16" max="16" width="16.42578125" style="19" customWidth="1"/>
    <col min="17" max="17" width="8.5703125" style="19"/>
    <col min="18" max="18" width="15" style="19" bestFit="1" customWidth="1"/>
    <col min="19" max="19" width="3" style="19" customWidth="1"/>
    <col min="20" max="20" width="13.5703125" style="19" bestFit="1" customWidth="1"/>
    <col min="21" max="22" width="8.5703125" style="19"/>
    <col min="23" max="23" width="4.42578125" style="19" customWidth="1"/>
    <col min="24" max="24" width="1.5703125" style="19" customWidth="1"/>
    <col min="25" max="25" width="17" style="19" bestFit="1" customWidth="1"/>
    <col min="26" max="26" width="15.42578125" style="19" bestFit="1" customWidth="1"/>
    <col min="27" max="27" width="17.5703125" style="19" customWidth="1"/>
    <col min="28" max="28" width="14.5703125" style="19" customWidth="1"/>
    <col min="29" max="29" width="19.42578125" style="19" customWidth="1"/>
    <col min="30" max="30" width="8.5703125" style="19"/>
    <col min="31" max="31" width="15" style="19" bestFit="1" customWidth="1"/>
    <col min="32" max="16384" width="8.5703125" style="19"/>
  </cols>
  <sheetData>
    <row r="1" spans="1:31" ht="14.1" customHeight="1">
      <c r="A1" s="124"/>
      <c r="B1" s="124"/>
      <c r="C1" s="124"/>
      <c r="D1" s="124"/>
      <c r="E1" s="124"/>
      <c r="F1" s="124"/>
      <c r="G1" s="124"/>
      <c r="H1" s="64" t="s">
        <v>386</v>
      </c>
      <c r="I1" s="124"/>
      <c r="J1" s="124"/>
      <c r="K1" s="124"/>
      <c r="L1" s="124"/>
      <c r="M1" s="124"/>
      <c r="N1" s="124"/>
      <c r="O1" s="124"/>
      <c r="P1" s="124"/>
    </row>
    <row r="2" spans="1:31" ht="14.1" customHeight="1">
      <c r="A2" s="124"/>
      <c r="B2" s="124"/>
      <c r="C2" s="124"/>
      <c r="D2" s="124"/>
      <c r="E2" s="124"/>
      <c r="F2" s="64" t="s">
        <v>311</v>
      </c>
      <c r="G2" s="124"/>
      <c r="H2" s="64" t="s">
        <v>313</v>
      </c>
      <c r="I2" s="124"/>
      <c r="J2" s="64" t="s">
        <v>315</v>
      </c>
      <c r="K2" s="124"/>
      <c r="L2" s="64" t="s">
        <v>322</v>
      </c>
      <c r="M2" s="64"/>
      <c r="N2" s="124"/>
      <c r="O2" s="64"/>
      <c r="P2" s="64" t="s">
        <v>324</v>
      </c>
    </row>
    <row r="3" spans="1:31" ht="14.1" customHeight="1">
      <c r="A3" s="141" t="s">
        <v>364</v>
      </c>
      <c r="B3" s="141"/>
      <c r="C3" s="141"/>
      <c r="D3" s="141"/>
      <c r="E3" s="124"/>
      <c r="F3" s="65" t="s">
        <v>312</v>
      </c>
      <c r="G3" s="124"/>
      <c r="H3" s="65" t="s">
        <v>314</v>
      </c>
      <c r="I3" s="124"/>
      <c r="J3" s="66" t="s">
        <v>316</v>
      </c>
      <c r="K3" s="124"/>
      <c r="L3" s="65" t="s">
        <v>323</v>
      </c>
      <c r="M3" s="64"/>
      <c r="N3" s="65" t="s">
        <v>313</v>
      </c>
      <c r="O3" s="64"/>
      <c r="P3" s="65" t="s">
        <v>316</v>
      </c>
    </row>
    <row r="4" spans="1:31" ht="14.1" customHeight="1">
      <c r="F4" s="62"/>
      <c r="H4" s="62"/>
      <c r="J4" s="63"/>
      <c r="Y4" s="124">
        <v>2026</v>
      </c>
      <c r="Z4" s="124">
        <v>2027</v>
      </c>
      <c r="AA4" s="124">
        <v>2028</v>
      </c>
      <c r="AB4" s="124">
        <v>2029</v>
      </c>
      <c r="AC4" s="124">
        <v>2030</v>
      </c>
      <c r="AD4" s="124"/>
      <c r="AE4" s="124" t="s">
        <v>372</v>
      </c>
    </row>
    <row r="5" spans="1:31" ht="14.1" customHeight="1">
      <c r="A5" s="19" t="s">
        <v>318</v>
      </c>
    </row>
    <row r="6" spans="1:31" ht="14.1" customHeight="1">
      <c r="B6" s="19" t="s">
        <v>319</v>
      </c>
      <c r="F6" s="62">
        <v>2021</v>
      </c>
      <c r="H6" s="62">
        <v>1.98</v>
      </c>
      <c r="J6" s="203">
        <v>19127775</v>
      </c>
      <c r="L6" s="203">
        <v>0</v>
      </c>
      <c r="M6" s="204"/>
      <c r="N6" s="203">
        <v>-9660492</v>
      </c>
      <c r="O6" s="204"/>
      <c r="P6" s="203">
        <f>SUM(J6:N6)</f>
        <v>9467283</v>
      </c>
      <c r="Y6" s="125">
        <f>-P6</f>
        <v>-9467283</v>
      </c>
      <c r="Z6" s="127"/>
      <c r="AA6" s="125"/>
      <c r="AB6" s="125"/>
      <c r="AE6" s="61">
        <f>SUM(P6:AB6)</f>
        <v>0</v>
      </c>
    </row>
    <row r="7" spans="1:31" ht="14.1" customHeight="1"/>
    <row r="8" spans="1:31" ht="14.1" customHeight="1"/>
    <row r="9" spans="1:31" ht="14.1" customHeight="1">
      <c r="A9" s="19" t="s">
        <v>317</v>
      </c>
      <c r="F9" s="62">
        <v>2020</v>
      </c>
      <c r="H9" s="62">
        <v>0.98</v>
      </c>
      <c r="J9" s="101">
        <v>162206865</v>
      </c>
      <c r="L9" s="154">
        <v>0</v>
      </c>
      <c r="M9" s="154"/>
      <c r="N9" s="101">
        <f>-J9</f>
        <v>-162206865</v>
      </c>
      <c r="O9" s="154"/>
      <c r="P9" s="101">
        <f>SUM(J9:N9)</f>
        <v>0</v>
      </c>
      <c r="Y9" s="60">
        <v>0</v>
      </c>
      <c r="Z9" s="127"/>
      <c r="AE9" s="61">
        <f>SUM(P9:AC9)</f>
        <v>0</v>
      </c>
    </row>
    <row r="10" spans="1:31" ht="14.1" customHeight="1">
      <c r="F10" s="62">
        <v>2024</v>
      </c>
      <c r="H10" s="62">
        <v>4.93</v>
      </c>
      <c r="J10" s="154">
        <v>171773933</v>
      </c>
      <c r="L10" s="154">
        <v>0</v>
      </c>
      <c r="M10" s="154"/>
      <c r="N10" s="101">
        <v>-34842583</v>
      </c>
      <c r="O10" s="154"/>
      <c r="P10" s="101">
        <f>SUM(J10:N10)</f>
        <v>136931350</v>
      </c>
      <c r="Y10" s="60">
        <f>N10</f>
        <v>-34842583</v>
      </c>
      <c r="Z10" s="127">
        <f>N10</f>
        <v>-34842583</v>
      </c>
      <c r="AA10" s="127">
        <f>N10</f>
        <v>-34842583</v>
      </c>
      <c r="AB10" s="60">
        <f>N10*0.93+1</f>
        <v>-32403601.190000001</v>
      </c>
      <c r="AC10" s="127"/>
      <c r="AE10" s="61">
        <f>SUM(P10:AC10)</f>
        <v>-0.19000000134110451</v>
      </c>
    </row>
    <row r="11" spans="1:31" ht="14.1" customHeight="1">
      <c r="F11" s="62">
        <v>2025</v>
      </c>
      <c r="H11" s="62">
        <v>5.77</v>
      </c>
      <c r="J11" s="207">
        <v>0</v>
      </c>
      <c r="L11" s="207">
        <v>105327407</v>
      </c>
      <c r="M11" s="154"/>
      <c r="N11" s="202">
        <v>-18254317</v>
      </c>
      <c r="O11" s="154"/>
      <c r="P11" s="202">
        <f>SUM(J11:N11)</f>
        <v>87073090</v>
      </c>
      <c r="Y11" s="60">
        <f>+N11</f>
        <v>-18254317</v>
      </c>
      <c r="Z11" s="60">
        <f>+Y11</f>
        <v>-18254317</v>
      </c>
      <c r="AA11" s="60">
        <f>+Z11</f>
        <v>-18254317</v>
      </c>
      <c r="AB11" s="60">
        <f>+AA11</f>
        <v>-18254317</v>
      </c>
      <c r="AC11" s="127">
        <f>+N11*0.77+2</f>
        <v>-14055822.09</v>
      </c>
      <c r="AE11" s="61">
        <f>SUM(P11:AC11)</f>
        <v>-8.9999999850988388E-2</v>
      </c>
    </row>
    <row r="12" spans="1:31" ht="14.1" customHeight="1">
      <c r="J12" s="101"/>
    </row>
    <row r="13" spans="1:31" ht="14.1" customHeight="1" thickBot="1">
      <c r="A13" s="19" t="s">
        <v>405</v>
      </c>
      <c r="J13" s="118">
        <f>SUM(J3:J12)</f>
        <v>353108573</v>
      </c>
      <c r="L13" s="118">
        <f>SUM(L3:L12)</f>
        <v>105327407</v>
      </c>
      <c r="M13" s="61"/>
      <c r="N13" s="118">
        <f>SUM(N3:N12)</f>
        <v>-224964257</v>
      </c>
      <c r="O13" s="61"/>
      <c r="P13" s="118">
        <f>SUM(P3:P12)</f>
        <v>233471723</v>
      </c>
      <c r="Q13" s="111"/>
      <c r="R13" s="130">
        <f>SUM('OPEB Amounts_Report'!D321:E321)-P13</f>
        <v>0</v>
      </c>
      <c r="Y13" s="127">
        <f>SUM(Y6:Y11)</f>
        <v>-62564183</v>
      </c>
      <c r="Z13" s="127">
        <f t="shared" ref="Z13:AC13" si="0">SUM(Z6:Z11)</f>
        <v>-53096900</v>
      </c>
      <c r="AA13" s="127">
        <f t="shared" si="0"/>
        <v>-53096900</v>
      </c>
      <c r="AB13" s="127">
        <f t="shared" si="0"/>
        <v>-50657918.189999998</v>
      </c>
      <c r="AC13" s="127">
        <f t="shared" si="0"/>
        <v>-14055822.09</v>
      </c>
    </row>
    <row r="14" spans="1:31" ht="13.5" thickTop="1"/>
    <row r="17" spans="1:31" ht="14.1" customHeight="1">
      <c r="A17" s="124"/>
      <c r="B17" s="124"/>
      <c r="C17" s="124"/>
      <c r="D17" s="124"/>
      <c r="E17" s="124"/>
      <c r="F17" s="124"/>
      <c r="G17" s="124"/>
      <c r="H17" s="64" t="s">
        <v>386</v>
      </c>
      <c r="I17" s="124"/>
      <c r="J17" s="124"/>
      <c r="K17" s="124"/>
      <c r="L17" s="124"/>
      <c r="M17" s="124"/>
      <c r="N17" s="124"/>
      <c r="O17" s="124"/>
      <c r="P17" s="124"/>
    </row>
    <row r="18" spans="1:31" ht="14.1" customHeight="1">
      <c r="A18" s="124"/>
      <c r="B18" s="124"/>
      <c r="C18" s="124"/>
      <c r="D18" s="124"/>
      <c r="E18" s="124"/>
      <c r="F18" s="64" t="s">
        <v>311</v>
      </c>
      <c r="G18" s="124"/>
      <c r="H18" s="64" t="s">
        <v>313</v>
      </c>
      <c r="I18" s="124"/>
      <c r="J18" s="64" t="s">
        <v>315</v>
      </c>
      <c r="K18" s="124"/>
      <c r="L18" s="64" t="s">
        <v>322</v>
      </c>
      <c r="M18" s="64"/>
      <c r="N18" s="124"/>
      <c r="O18" s="64"/>
      <c r="P18" s="64" t="s">
        <v>324</v>
      </c>
    </row>
    <row r="19" spans="1:31" ht="14.1" customHeight="1">
      <c r="A19" s="141" t="s">
        <v>295</v>
      </c>
      <c r="B19" s="141"/>
      <c r="C19" s="141"/>
      <c r="D19" s="141"/>
      <c r="E19" s="124"/>
      <c r="F19" s="65" t="s">
        <v>312</v>
      </c>
      <c r="G19" s="124"/>
      <c r="H19" s="65" t="s">
        <v>314</v>
      </c>
      <c r="I19" s="124"/>
      <c r="J19" s="208" t="s">
        <v>316</v>
      </c>
      <c r="K19" s="124"/>
      <c r="L19" s="65" t="s">
        <v>323</v>
      </c>
      <c r="M19" s="64"/>
      <c r="N19" s="65" t="s">
        <v>313</v>
      </c>
      <c r="O19" s="64"/>
      <c r="P19" s="65" t="s">
        <v>316</v>
      </c>
    </row>
    <row r="20" spans="1:31" ht="14.1" customHeight="1">
      <c r="F20" s="62"/>
      <c r="H20" s="62"/>
      <c r="J20" s="209"/>
      <c r="Y20" s="124">
        <v>2026</v>
      </c>
      <c r="Z20" s="124">
        <v>2027</v>
      </c>
      <c r="AA20" s="124">
        <v>2028</v>
      </c>
      <c r="AB20" s="124">
        <v>2029</v>
      </c>
      <c r="AC20" s="124">
        <v>2030</v>
      </c>
      <c r="AE20" s="124"/>
    </row>
    <row r="21" spans="1:31" ht="14.1" customHeight="1">
      <c r="A21" s="19" t="s">
        <v>318</v>
      </c>
    </row>
    <row r="22" spans="1:31" ht="14.1" customHeight="1">
      <c r="B22" s="19" t="s">
        <v>319</v>
      </c>
      <c r="F22" s="62">
        <v>2020</v>
      </c>
      <c r="H22" s="62">
        <v>0.98</v>
      </c>
      <c r="J22" s="203">
        <v>24669650</v>
      </c>
      <c r="L22" s="203">
        <v>0</v>
      </c>
      <c r="M22" s="204"/>
      <c r="N22" s="203">
        <f>-J22</f>
        <v>-24669650</v>
      </c>
      <c r="O22" s="204"/>
      <c r="P22" s="203">
        <f>SUM(J22:N22)</f>
        <v>0</v>
      </c>
      <c r="Y22" s="60">
        <v>0</v>
      </c>
      <c r="Z22" s="127"/>
      <c r="AA22" s="127"/>
      <c r="AE22" s="61">
        <f>SUM(Q22:AC22)</f>
        <v>0</v>
      </c>
    </row>
    <row r="23" spans="1:31" ht="14.1" customHeight="1">
      <c r="F23" s="62">
        <v>2022</v>
      </c>
      <c r="H23" s="62">
        <v>2.89</v>
      </c>
      <c r="J23" s="205">
        <v>17723825</v>
      </c>
      <c r="K23" s="155"/>
      <c r="L23" s="205">
        <v>0</v>
      </c>
      <c r="M23" s="154"/>
      <c r="N23" s="205">
        <v>-6132812</v>
      </c>
      <c r="O23" s="154"/>
      <c r="P23" s="205">
        <f>SUM(J23:N23)</f>
        <v>11591013</v>
      </c>
      <c r="T23" s="127"/>
      <c r="Y23" s="60">
        <f>+N23</f>
        <v>-6132812</v>
      </c>
      <c r="Z23" s="127">
        <f>+N23*0.89+2</f>
        <v>-5458200.6799999997</v>
      </c>
      <c r="AA23" s="127"/>
      <c r="AB23" s="60"/>
      <c r="AE23" s="61">
        <f>SUM(P23:AB23)</f>
        <v>0.32000000029802322</v>
      </c>
    </row>
    <row r="24" spans="1:31" ht="14.1" customHeight="1">
      <c r="F24" s="62">
        <v>2023</v>
      </c>
      <c r="H24" s="62">
        <v>3.87</v>
      </c>
      <c r="J24" s="205">
        <v>118432436</v>
      </c>
      <c r="K24" s="155"/>
      <c r="L24" s="205">
        <v>0</v>
      </c>
      <c r="M24" s="154"/>
      <c r="N24" s="205">
        <v>-30602697</v>
      </c>
      <c r="O24" s="154"/>
      <c r="P24" s="205">
        <f>SUM(J24:N24)</f>
        <v>87829739</v>
      </c>
      <c r="Y24" s="60">
        <f>+N24</f>
        <v>-30602697</v>
      </c>
      <c r="Z24" s="127">
        <f>+N24-1</f>
        <v>-30602698</v>
      </c>
      <c r="AA24" s="127">
        <f>+N24*0.87+2</f>
        <v>-26624344.390000001</v>
      </c>
      <c r="AB24" s="127"/>
      <c r="AC24" s="60"/>
      <c r="AE24" s="61">
        <f>SUM(P24:AC24)</f>
        <v>-0.39000000059604645</v>
      </c>
    </row>
    <row r="25" spans="1:31" ht="14.1" customHeight="1">
      <c r="F25" s="62">
        <v>2024</v>
      </c>
      <c r="H25" s="62">
        <v>4.93</v>
      </c>
      <c r="J25" s="205">
        <v>25604275</v>
      </c>
      <c r="K25" s="155"/>
      <c r="L25" s="205">
        <v>0</v>
      </c>
      <c r="M25" s="154"/>
      <c r="N25" s="205">
        <v>-5193564</v>
      </c>
      <c r="O25" s="154"/>
      <c r="P25" s="205">
        <f>SUM(J25:N25)</f>
        <v>20410711</v>
      </c>
      <c r="Y25" s="60">
        <f>+N25</f>
        <v>-5193564</v>
      </c>
      <c r="Z25" s="127">
        <f>+N25</f>
        <v>-5193564</v>
      </c>
      <c r="AA25" s="127">
        <f>+N25</f>
        <v>-5193564</v>
      </c>
      <c r="AB25" s="127">
        <f>+N25*0.93-4</f>
        <v>-4830018.5200000005</v>
      </c>
      <c r="AC25" s="127"/>
      <c r="AE25" s="61">
        <f>SUM(P25:AC25)</f>
        <v>0.47999999951571226</v>
      </c>
    </row>
    <row r="26" spans="1:31" ht="14.1" customHeight="1">
      <c r="F26" s="62">
        <v>2025</v>
      </c>
      <c r="H26" s="62">
        <v>5.77</v>
      </c>
      <c r="J26" s="154">
        <v>0</v>
      </c>
      <c r="L26" s="205">
        <v>178597429</v>
      </c>
      <c r="N26" s="205">
        <v>-30952761</v>
      </c>
      <c r="P26" s="205">
        <f>SUM(J26:N26)</f>
        <v>147644668</v>
      </c>
      <c r="R26" s="130">
        <f>+'OPEB Amounts_Report'!I321</f>
        <v>267476131</v>
      </c>
      <c r="T26" s="61">
        <f>SUM(P22:P26)</f>
        <v>267476131</v>
      </c>
      <c r="Y26" s="60">
        <f>+N26</f>
        <v>-30952761</v>
      </c>
      <c r="Z26" s="127">
        <f>+N26</f>
        <v>-30952761</v>
      </c>
      <c r="AA26" s="127">
        <f>+N26</f>
        <v>-30952761</v>
      </c>
      <c r="AB26" s="127">
        <f>+N26</f>
        <v>-30952761</v>
      </c>
      <c r="AC26" s="127">
        <f>+N26*0.77+2</f>
        <v>-23833623.969999999</v>
      </c>
      <c r="AE26" s="61">
        <f>SUM(P26,Y26:AC26)</f>
        <v>3.0000001192092896E-2</v>
      </c>
    </row>
    <row r="27" spans="1:31" ht="14.1" customHeight="1"/>
    <row r="28" spans="1:31" ht="14.1" customHeight="1">
      <c r="A28" s="19" t="s">
        <v>422</v>
      </c>
      <c r="F28" s="62"/>
      <c r="H28" s="62"/>
      <c r="J28" s="205"/>
      <c r="K28" s="155"/>
      <c r="L28" s="205"/>
      <c r="M28" s="154"/>
      <c r="N28" s="205"/>
      <c r="O28" s="154"/>
      <c r="P28" s="205"/>
    </row>
    <row r="29" spans="1:31" ht="14.1" customHeight="1">
      <c r="B29" s="19" t="s">
        <v>320</v>
      </c>
      <c r="F29" s="62">
        <v>2021</v>
      </c>
      <c r="H29" s="206">
        <v>1</v>
      </c>
      <c r="J29" s="154">
        <v>30994541</v>
      </c>
      <c r="K29" s="155"/>
      <c r="L29" s="154">
        <v>0</v>
      </c>
      <c r="M29" s="154"/>
      <c r="N29" s="154">
        <f>-J29</f>
        <v>-30994541</v>
      </c>
      <c r="O29" s="154"/>
      <c r="P29" s="154">
        <f>SUM(J29:N29)</f>
        <v>0</v>
      </c>
      <c r="Y29" s="125">
        <v>0</v>
      </c>
      <c r="Z29" s="127"/>
      <c r="AA29" s="127"/>
      <c r="AB29" s="127"/>
      <c r="AC29" s="125"/>
    </row>
    <row r="30" spans="1:31" ht="14.1" customHeight="1">
      <c r="F30" s="62">
        <v>2022</v>
      </c>
      <c r="H30" s="206">
        <v>2</v>
      </c>
      <c r="J30" s="154">
        <v>-52363788</v>
      </c>
      <c r="K30" s="155"/>
      <c r="L30" s="154">
        <v>0</v>
      </c>
      <c r="M30" s="154"/>
      <c r="N30" s="154">
        <v>26181894</v>
      </c>
      <c r="O30" s="154"/>
      <c r="P30" s="154">
        <f>SUM(J30:N30)</f>
        <v>-26181894</v>
      </c>
      <c r="Y30" s="125">
        <f>-P30</f>
        <v>26181894</v>
      </c>
      <c r="Z30" s="127"/>
      <c r="AA30" s="127"/>
      <c r="AB30" s="127"/>
      <c r="AC30" s="125"/>
      <c r="AE30" s="61">
        <f t="shared" ref="AE30:AE33" si="1">SUM(P30,Y30:AC30)</f>
        <v>0</v>
      </c>
    </row>
    <row r="31" spans="1:31" ht="14.1" customHeight="1">
      <c r="F31" s="62">
        <v>2023</v>
      </c>
      <c r="H31" s="206">
        <v>3</v>
      </c>
      <c r="J31" s="154">
        <v>-7949280</v>
      </c>
      <c r="L31" s="205">
        <v>0</v>
      </c>
      <c r="N31" s="154">
        <v>2649759</v>
      </c>
      <c r="P31" s="154">
        <f>SUM(J31:N31)</f>
        <v>-5299521</v>
      </c>
      <c r="Y31" s="125">
        <f>N31</f>
        <v>2649759</v>
      </c>
      <c r="Z31" s="127">
        <f>+Y31+3</f>
        <v>2649762</v>
      </c>
      <c r="AA31" s="127"/>
      <c r="AB31" s="127"/>
      <c r="AC31" s="125"/>
      <c r="AE31" s="61">
        <f>SUM(P31,Y31:AC31)</f>
        <v>0</v>
      </c>
    </row>
    <row r="32" spans="1:31" ht="14.1" customHeight="1">
      <c r="F32" s="62">
        <v>2024</v>
      </c>
      <c r="H32" s="206">
        <v>4</v>
      </c>
      <c r="J32" s="205">
        <v>13364142</v>
      </c>
      <c r="L32" s="205">
        <v>0</v>
      </c>
      <c r="N32" s="154">
        <v>-3341035</v>
      </c>
      <c r="P32" s="154">
        <f>SUM(J32:N32)</f>
        <v>10023107</v>
      </c>
      <c r="Y32" s="125">
        <f>+N32</f>
        <v>-3341035</v>
      </c>
      <c r="Z32" s="127">
        <f>+Y32-1</f>
        <v>-3341036</v>
      </c>
      <c r="AA32" s="127">
        <f>+Y32-1</f>
        <v>-3341036</v>
      </c>
      <c r="AB32" s="127"/>
      <c r="AE32" s="61">
        <f t="shared" si="1"/>
        <v>0</v>
      </c>
    </row>
    <row r="33" spans="1:31" ht="14.1" customHeight="1">
      <c r="F33" s="62">
        <v>2025</v>
      </c>
      <c r="H33" s="206">
        <v>5</v>
      </c>
      <c r="J33" s="205">
        <v>0</v>
      </c>
      <c r="L33" s="205">
        <v>56261752</v>
      </c>
      <c r="N33" s="154">
        <v>-11252352</v>
      </c>
      <c r="P33" s="154">
        <f>SUM(J33:N33)</f>
        <v>45009400</v>
      </c>
      <c r="Y33" s="125">
        <f>+N33+4</f>
        <v>-11252348</v>
      </c>
      <c r="Z33" s="127">
        <f>+N33</f>
        <v>-11252352</v>
      </c>
      <c r="AA33" s="127">
        <f>+N33+1</f>
        <v>-11252351</v>
      </c>
      <c r="AB33" s="127">
        <f>+N33+3</f>
        <v>-11252349</v>
      </c>
      <c r="AE33" s="61">
        <f t="shared" si="1"/>
        <v>0</v>
      </c>
    </row>
    <row r="34" spans="1:31" ht="14.1" customHeight="1"/>
    <row r="35" spans="1:31" ht="14.1" customHeight="1">
      <c r="A35" s="19" t="s">
        <v>317</v>
      </c>
      <c r="F35" s="62">
        <v>2021</v>
      </c>
      <c r="H35" s="62">
        <f>3.98-1-1</f>
        <v>1.98</v>
      </c>
      <c r="J35" s="154">
        <v>296073507</v>
      </c>
      <c r="K35" s="155"/>
      <c r="L35" s="154">
        <v>0</v>
      </c>
      <c r="M35" s="154"/>
      <c r="N35" s="154">
        <v>-149532075</v>
      </c>
      <c r="O35" s="154"/>
      <c r="P35" s="154">
        <f>SUM(J35:N35)</f>
        <v>146541432</v>
      </c>
      <c r="Y35" s="60">
        <f>+N35*0.98+1.5</f>
        <v>-146541432</v>
      </c>
      <c r="Z35" s="127"/>
      <c r="AA35" s="127"/>
      <c r="AB35" s="127"/>
      <c r="AC35" s="60"/>
      <c r="AE35" s="61">
        <f>SUM(P35:AC35)</f>
        <v>0</v>
      </c>
    </row>
    <row r="36" spans="1:31" ht="14.1" customHeight="1">
      <c r="F36" s="62">
        <v>2022</v>
      </c>
      <c r="H36" s="62">
        <f>4.89-1-1</f>
        <v>2.8899999999999997</v>
      </c>
      <c r="J36" s="154">
        <v>552208714</v>
      </c>
      <c r="K36" s="155"/>
      <c r="L36" s="154">
        <v>0</v>
      </c>
      <c r="M36" s="154"/>
      <c r="N36" s="154">
        <v>-191075679</v>
      </c>
      <c r="O36" s="154"/>
      <c r="P36" s="154">
        <f>SUM(J36:N36)</f>
        <v>361133035</v>
      </c>
      <c r="Y36" s="60">
        <f>+N36-1</f>
        <v>-191075680</v>
      </c>
      <c r="Z36" s="127">
        <f>+N36*0.89-1</f>
        <v>-170057355.31</v>
      </c>
      <c r="AB36" s="127"/>
      <c r="AC36" s="127"/>
      <c r="AE36" s="61">
        <f>SUM(P36:AC36)</f>
        <v>-0.31000000238418579</v>
      </c>
    </row>
    <row r="37" spans="1:31" ht="14.1" customHeight="1">
      <c r="F37" s="62">
        <v>2023</v>
      </c>
      <c r="H37" s="62">
        <f>4.87-1</f>
        <v>3.87</v>
      </c>
      <c r="J37" s="207">
        <v>283525444</v>
      </c>
      <c r="K37" s="155"/>
      <c r="L37" s="207">
        <v>0</v>
      </c>
      <c r="M37" s="154"/>
      <c r="N37" s="207">
        <v>-73262389</v>
      </c>
      <c r="O37" s="154"/>
      <c r="P37" s="207">
        <f>SUM(J37:N37)</f>
        <v>210263055</v>
      </c>
      <c r="Y37" s="60">
        <f>-73262389-1</f>
        <v>-73262390</v>
      </c>
      <c r="Z37" s="127">
        <f>+N37</f>
        <v>-73262389</v>
      </c>
      <c r="AA37" s="127">
        <f>+(N37*0.87)+2</f>
        <v>-63738276.43</v>
      </c>
      <c r="AB37" s="127"/>
      <c r="AC37" s="127"/>
      <c r="AE37" s="61">
        <f>SUM(P37:AC37)</f>
        <v>-0.42999999970197678</v>
      </c>
    </row>
    <row r="38" spans="1:31" ht="14.1" customHeight="1">
      <c r="F38" s="62"/>
      <c r="J38" s="101"/>
    </row>
    <row r="39" spans="1:31" ht="14.1" customHeight="1" thickBot="1">
      <c r="A39" s="19" t="s">
        <v>321</v>
      </c>
      <c r="J39" s="227">
        <f>SUM(J22:J38)</f>
        <v>1302283466</v>
      </c>
      <c r="K39" s="130"/>
      <c r="L39" s="227">
        <f>SUM(L22:L38)</f>
        <v>234859181</v>
      </c>
      <c r="M39" s="130"/>
      <c r="N39" s="227">
        <f>SUM(N22:N38)</f>
        <v>-528177902</v>
      </c>
      <c r="O39" s="130"/>
      <c r="P39" s="227">
        <f>SUM(P22:P38)</f>
        <v>1008964745</v>
      </c>
      <c r="R39" s="130">
        <f>SUM('OPEB Amounts_Report'!I321:K321)-P39</f>
        <v>0</v>
      </c>
      <c r="Y39" s="127">
        <f>SUM(Y22:Y37)</f>
        <v>-469523066</v>
      </c>
      <c r="Z39" s="127">
        <f>SUM(Z22:Z37)</f>
        <v>-327470593.99000001</v>
      </c>
      <c r="AA39" s="127">
        <f>SUM(AA22:AA37)</f>
        <v>-141102332.81999999</v>
      </c>
      <c r="AB39" s="127">
        <f>SUM(AB22:AB37)</f>
        <v>-47035128.520000003</v>
      </c>
      <c r="AC39" s="127">
        <f>SUM(AC22:AC37)</f>
        <v>-23833623.969999999</v>
      </c>
    </row>
    <row r="40" spans="1:31" ht="13.5" thickTop="1"/>
    <row r="41" spans="1:31">
      <c r="X41" s="131" t="s">
        <v>372</v>
      </c>
      <c r="Y41" s="127">
        <f>+Y39-Y13</f>
        <v>-406958883</v>
      </c>
      <c r="Z41" s="127">
        <f>+Z39-Z13</f>
        <v>-274373693.99000001</v>
      </c>
      <c r="AA41" s="127">
        <f>+AA39-AA13</f>
        <v>-88005432.819999993</v>
      </c>
      <c r="AB41" s="127">
        <f>+AB39-AB13</f>
        <v>3622789.6699999943</v>
      </c>
      <c r="AC41" s="127">
        <f>+AC39-AC13</f>
        <v>-9777801.879999999</v>
      </c>
    </row>
    <row r="43" spans="1:31">
      <c r="Y43" s="125"/>
      <c r="Z43" s="125"/>
      <c r="AA43" s="125"/>
      <c r="AB43" s="125"/>
      <c r="AC43" s="125"/>
    </row>
    <row r="45" spans="1:31">
      <c r="N45" s="122">
        <v>2026</v>
      </c>
      <c r="P45" s="146">
        <f>+'Amortization Tables_Report'!C321</f>
        <v>-406958883</v>
      </c>
      <c r="T45" s="132"/>
      <c r="Y45" s="151"/>
      <c r="Z45" s="151"/>
      <c r="AA45" s="151"/>
      <c r="AB45" s="151"/>
      <c r="AC45" s="151"/>
    </row>
    <row r="46" spans="1:31">
      <c r="N46" s="122">
        <v>2027</v>
      </c>
      <c r="P46" s="60">
        <f>+'Amortization Tables_Report'!D321</f>
        <v>-274373694</v>
      </c>
      <c r="T46" s="132"/>
    </row>
    <row r="47" spans="1:31">
      <c r="N47" s="122">
        <v>2028</v>
      </c>
      <c r="P47" s="60">
        <f>+'Amortization Tables_Report'!E321</f>
        <v>-88005433</v>
      </c>
      <c r="T47" s="132"/>
      <c r="Y47" s="101"/>
      <c r="Z47" s="101"/>
    </row>
    <row r="48" spans="1:31">
      <c r="N48" s="122">
        <v>2029</v>
      </c>
      <c r="P48" s="60">
        <f>+'Amortization Tables_Report'!F321</f>
        <v>3622790</v>
      </c>
      <c r="T48" s="132"/>
      <c r="Y48" s="101" t="s">
        <v>420</v>
      </c>
      <c r="Z48" s="101"/>
    </row>
    <row r="49" spans="14:29">
      <c r="N49" s="122">
        <v>2030</v>
      </c>
      <c r="P49" s="142">
        <f>+'Amortization Tables_Report'!G321</f>
        <v>-9777802</v>
      </c>
      <c r="T49" s="132"/>
      <c r="Y49" s="101">
        <f>+'Amortization Tables_Report'!C321</f>
        <v>-406958883</v>
      </c>
      <c r="Z49" s="101">
        <f>+'Amortization Tables_Report'!D321</f>
        <v>-274373694</v>
      </c>
      <c r="AA49" s="101">
        <f>+'Amortization Tables_Report'!E321</f>
        <v>-88005433</v>
      </c>
      <c r="AB49" s="101">
        <f>+'Amortization Tables_Report'!F321</f>
        <v>3622790</v>
      </c>
      <c r="AC49" s="101">
        <f>+'Amortization Tables_Report'!G321</f>
        <v>-9777802</v>
      </c>
    </row>
    <row r="50" spans="14:29" ht="13.5" customHeight="1">
      <c r="Y50" s="101">
        <f>+Y41-Y49</f>
        <v>0</v>
      </c>
      <c r="Z50" s="101">
        <f t="shared" ref="Z50:AC50" si="2">+Z41-Z49</f>
        <v>9.9999904632568359E-3</v>
      </c>
      <c r="AA50" s="101">
        <f t="shared" si="2"/>
        <v>0.18000000715255737</v>
      </c>
      <c r="AB50" s="101">
        <f t="shared" si="2"/>
        <v>-0.33000000566244125</v>
      </c>
      <c r="AC50" s="101">
        <f t="shared" si="2"/>
        <v>0.12000000104308128</v>
      </c>
    </row>
    <row r="51" spans="14:29" ht="13.5" thickBot="1">
      <c r="P51" s="118">
        <f>SUM(P45:P49)</f>
        <v>-775493022</v>
      </c>
      <c r="Y51" s="126"/>
      <c r="Z51" s="126"/>
    </row>
    <row r="52" spans="14:29" ht="13.5" thickTop="1">
      <c r="Q52" s="111"/>
      <c r="Y52" s="126"/>
      <c r="Z52" s="126"/>
    </row>
    <row r="53" spans="14:29">
      <c r="Z53" s="126"/>
    </row>
    <row r="54" spans="14:29">
      <c r="Y54" s="126"/>
      <c r="Z54" s="126"/>
    </row>
    <row r="55" spans="14:29">
      <c r="P55" s="61">
        <f>+P39-P13+P51</f>
        <v>0</v>
      </c>
      <c r="Y55" s="61"/>
      <c r="Z55" s="61"/>
    </row>
    <row r="56" spans="14:29">
      <c r="R56" s="132"/>
    </row>
    <row r="57" spans="14:29">
      <c r="N57" s="124"/>
      <c r="R57" s="132"/>
    </row>
    <row r="59" spans="14:29" ht="4.3499999999999996" customHeight="1">
      <c r="N59" s="122"/>
      <c r="P59" s="123"/>
    </row>
    <row r="60" spans="14:29">
      <c r="N60" s="122"/>
      <c r="P60" s="125"/>
    </row>
    <row r="61" spans="14:29">
      <c r="N61" s="122"/>
      <c r="P61" s="125"/>
      <c r="R61" s="130"/>
    </row>
    <row r="62" spans="14:29">
      <c r="N62" s="122"/>
      <c r="P62" s="125"/>
      <c r="R62" s="155"/>
    </row>
    <row r="63" spans="14:29">
      <c r="N63" s="122"/>
      <c r="P63" s="101"/>
      <c r="R63" s="130"/>
    </row>
    <row r="64" spans="14:29">
      <c r="P64" s="61"/>
    </row>
  </sheetData>
  <pageMargins left="0.7" right="0.7" top="0.75" bottom="0.75" header="0.3" footer="0.3"/>
  <pageSetup orientation="portrait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H631"/>
  <sheetViews>
    <sheetView view="pageBreakPreview" topLeftCell="A265" zoomScale="85" zoomScaleNormal="100" zoomScaleSheetLayoutView="85" workbookViewId="0">
      <selection activeCell="B143" sqref="B143"/>
    </sheetView>
  </sheetViews>
  <sheetFormatPr defaultColWidth="9.42578125" defaultRowHeight="12.75"/>
  <cols>
    <col min="1" max="1" width="12.42578125" style="5" customWidth="1"/>
    <col min="2" max="2" width="67.5703125" style="5" customWidth="1"/>
    <col min="3" max="3" width="17.5703125" style="5" customWidth="1"/>
    <col min="4" max="4" width="15.5703125" style="5" customWidth="1"/>
    <col min="5" max="5" width="69.5703125" style="5" bestFit="1" customWidth="1"/>
    <col min="6" max="6" width="22.5703125" style="5" bestFit="1" customWidth="1"/>
    <col min="7" max="7" width="25.42578125" style="5" bestFit="1" customWidth="1"/>
    <col min="8" max="8" width="21.5703125" style="5" bestFit="1" customWidth="1"/>
    <col min="9" max="16384" width="9.42578125" style="5"/>
  </cols>
  <sheetData>
    <row r="1" spans="1:8" ht="18" customHeight="1">
      <c r="A1" s="282" t="s">
        <v>378</v>
      </c>
      <c r="B1" s="282"/>
      <c r="C1" s="282"/>
      <c r="D1" s="282"/>
    </row>
    <row r="2" spans="1:8" ht="15.75" customHeight="1">
      <c r="A2" s="283" t="s">
        <v>379</v>
      </c>
      <c r="B2" s="283"/>
      <c r="C2" s="283"/>
      <c r="D2" s="283"/>
    </row>
    <row r="3" spans="1:8" ht="15.75" customHeight="1">
      <c r="A3" s="283" t="s">
        <v>469</v>
      </c>
      <c r="B3" s="283"/>
      <c r="C3" s="283"/>
      <c r="D3" s="283"/>
    </row>
    <row r="4" spans="1:8" ht="10.35" customHeight="1"/>
    <row r="5" spans="1:8" ht="3.75" hidden="1" customHeight="1"/>
    <row r="6" spans="1:8" ht="44.25" customHeight="1">
      <c r="A6" s="44" t="s">
        <v>0</v>
      </c>
      <c r="B6" s="45" t="s">
        <v>1</v>
      </c>
      <c r="C6" s="44" t="s">
        <v>822</v>
      </c>
      <c r="D6" s="44" t="s">
        <v>2</v>
      </c>
    </row>
    <row r="7" spans="1:8">
      <c r="A7" s="16"/>
      <c r="B7" s="17"/>
      <c r="C7" s="16" t="s">
        <v>3</v>
      </c>
      <c r="D7" s="17" t="s">
        <v>4</v>
      </c>
    </row>
    <row r="8" spans="1:8">
      <c r="A8" s="16"/>
      <c r="B8" s="17"/>
      <c r="C8" s="16"/>
      <c r="D8" s="17"/>
      <c r="F8" s="5" t="s">
        <v>787</v>
      </c>
      <c r="G8" s="5" t="s">
        <v>788</v>
      </c>
    </row>
    <row r="9" spans="1:8">
      <c r="A9" s="183">
        <v>1341</v>
      </c>
      <c r="B9" s="184" t="s">
        <v>5</v>
      </c>
      <c r="C9" s="185">
        <f t="shared" ref="C9:C72" si="0">+VLOOKUP(A9,$D$321:$F$628,3,FALSE)</f>
        <v>34024357</v>
      </c>
      <c r="D9" s="186">
        <f t="shared" ref="D9:D72" si="1">+C9/$C$316</f>
        <v>0.25089231417998115</v>
      </c>
      <c r="E9" s="158"/>
      <c r="F9" s="150">
        <f>VLOOKUP(A9,'OPEB Amounts_Report'!$A$10:$A$319,1,FALSE)</f>
        <v>1341</v>
      </c>
      <c r="G9" s="5">
        <f>VLOOKUP(A9,'Change in Proportion Calc'!$A$5:$A$311,1,FALSE)</f>
        <v>1341</v>
      </c>
      <c r="H9" s="87"/>
    </row>
    <row r="10" spans="1:8">
      <c r="A10" s="10">
        <v>2308</v>
      </c>
      <c r="B10" s="11" t="str">
        <f>VLOOKUP(A10,$D$324:$E$628,2,FALSE)</f>
        <v>21ST CENTURY PUBLIC ACADEMY</v>
      </c>
      <c r="C10" s="135">
        <f t="shared" si="0"/>
        <v>55622</v>
      </c>
      <c r="D10" s="137">
        <f t="shared" si="1"/>
        <v>4.1015124251485226E-4</v>
      </c>
      <c r="E10" s="158"/>
      <c r="F10" s="150">
        <f>VLOOKUP(A10,'OPEB Amounts_Report'!$A$10:$A$319,1,FALSE)</f>
        <v>2308</v>
      </c>
      <c r="G10" s="5">
        <f>VLOOKUP(A10,'Change in Proportion Calc'!$A$5:$A$311,1,FALSE)</f>
        <v>2308</v>
      </c>
      <c r="H10" s="87"/>
    </row>
    <row r="11" spans="1:8">
      <c r="A11" s="12">
        <v>2340</v>
      </c>
      <c r="B11" s="13" t="str">
        <f t="shared" ref="B11:B74" si="2">VLOOKUP(A11,$D$324:$E$628,2,FALSE)</f>
        <v>ABQ CHARTER ACADEMY</v>
      </c>
      <c r="C11" s="136">
        <f t="shared" si="0"/>
        <v>60494</v>
      </c>
      <c r="D11" s="138">
        <f t="shared" si="1"/>
        <v>4.4607689879352545E-4</v>
      </c>
      <c r="E11" s="158"/>
      <c r="F11" s="150">
        <f>VLOOKUP(A11,'OPEB Amounts_Report'!$A$10:$A$319,1,FALSE)</f>
        <v>2340</v>
      </c>
      <c r="G11" s="5">
        <f>VLOOKUP(A11,'Change in Proportion Calc'!$A$5:$A$311,1,FALSE)</f>
        <v>2340</v>
      </c>
      <c r="H11" s="87"/>
    </row>
    <row r="12" spans="1:8">
      <c r="A12" s="10">
        <v>1301</v>
      </c>
      <c r="B12" s="11" t="str">
        <f t="shared" si="2"/>
        <v>ACADEMY FOR TECHNOLOGY &amp; THE CLASSICS</v>
      </c>
      <c r="C12" s="135">
        <f t="shared" si="0"/>
        <v>67117</v>
      </c>
      <c r="D12" s="137">
        <f t="shared" si="1"/>
        <v>4.9491425953524393E-4</v>
      </c>
      <c r="E12" s="158"/>
      <c r="F12" s="150">
        <f>VLOOKUP(A12,'OPEB Amounts_Report'!$A$10:$A$319,1,FALSE)</f>
        <v>1301</v>
      </c>
      <c r="G12" s="5">
        <f>VLOOKUP(A12,'Change in Proportion Calc'!$A$5:$A$311,1,FALSE)</f>
        <v>1301</v>
      </c>
      <c r="H12" s="87"/>
    </row>
    <row r="13" spans="1:8">
      <c r="A13" s="12">
        <v>2390</v>
      </c>
      <c r="B13" s="13" t="str">
        <f t="shared" si="2"/>
        <v>ACE LEADERSHIP</v>
      </c>
      <c r="C13" s="136">
        <f t="shared" si="0"/>
        <v>50374</v>
      </c>
      <c r="D13" s="138">
        <f t="shared" si="1"/>
        <v>3.7145299864160168E-4</v>
      </c>
      <c r="E13" s="158"/>
      <c r="F13" s="150">
        <f>VLOOKUP(A13,'OPEB Amounts_Report'!$A$10:$A$319,1,FALSE)</f>
        <v>2390</v>
      </c>
      <c r="G13" s="5">
        <f>VLOOKUP(A13,'Change in Proportion Calc'!$A$5:$A$311,1,FALSE)</f>
        <v>2390</v>
      </c>
      <c r="H13" s="87"/>
    </row>
    <row r="14" spans="1:8">
      <c r="A14" s="10">
        <v>2441</v>
      </c>
      <c r="B14" s="11" t="str">
        <f t="shared" si="2"/>
        <v>ACES TECHNICAL CHARTER SCHOOL</v>
      </c>
      <c r="C14" s="135">
        <f t="shared" si="0"/>
        <v>29199</v>
      </c>
      <c r="D14" s="137">
        <f t="shared" si="1"/>
        <v>2.1531059886719593E-4</v>
      </c>
      <c r="E14" s="158"/>
      <c r="F14" s="150">
        <f>VLOOKUP(A14,'OPEB Amounts_Report'!$A$10:$A$319,1,FALSE)</f>
        <v>2441</v>
      </c>
      <c r="G14" s="5">
        <f>VLOOKUP(A14,'Change in Proportion Calc'!$A$5:$A$311,1,FALSE)</f>
        <v>2441</v>
      </c>
      <c r="H14" s="87"/>
    </row>
    <row r="15" spans="1:8">
      <c r="A15" s="12">
        <v>15046</v>
      </c>
      <c r="B15" s="13" t="str">
        <f t="shared" si="2"/>
        <v>ALAMOGORDO PUBLIC SCHOOLS</v>
      </c>
      <c r="C15" s="136">
        <f t="shared" si="0"/>
        <v>1015140</v>
      </c>
      <c r="D15" s="138">
        <f t="shared" si="1"/>
        <v>7.4855440711683709E-3</v>
      </c>
      <c r="E15" s="158"/>
      <c r="F15" s="150">
        <f>VLOOKUP(A15,'OPEB Amounts_Report'!$A$10:$A$319,1,FALSE)</f>
        <v>15046</v>
      </c>
      <c r="G15" s="5">
        <f>VLOOKUP(A15,'Change in Proportion Calc'!$A$5:$A$311,1,FALSE)</f>
        <v>15046</v>
      </c>
      <c r="H15" s="87"/>
    </row>
    <row r="16" spans="1:8">
      <c r="A16" s="10">
        <v>4380</v>
      </c>
      <c r="B16" s="11" t="str">
        <f t="shared" si="2"/>
        <v>ALBUQUERQUE BERNALILLO COUNTY WATER UTILITY AUTHORITY</v>
      </c>
      <c r="C16" s="135">
        <f t="shared" si="0"/>
        <v>814491</v>
      </c>
      <c r="D16" s="137">
        <f t="shared" si="1"/>
        <v>6.005977772592941E-3</v>
      </c>
      <c r="E16" s="158"/>
      <c r="F16" s="150">
        <f>VLOOKUP(A16,'OPEB Amounts_Report'!$A$10:$A$319,1,FALSE)</f>
        <v>4380</v>
      </c>
      <c r="G16" s="5">
        <f>VLOOKUP(A16,'Change in Proportion Calc'!$A$5:$A$311,1,FALSE)</f>
        <v>4380</v>
      </c>
      <c r="H16" s="87"/>
    </row>
    <row r="17" spans="1:8">
      <c r="A17" s="12">
        <v>2343</v>
      </c>
      <c r="B17" s="13" t="str">
        <f t="shared" si="2"/>
        <v>ALBUQUERQUE BILINGUAL ACADEMY</v>
      </c>
      <c r="C17" s="136">
        <f t="shared" si="0"/>
        <v>59660</v>
      </c>
      <c r="D17" s="138">
        <f t="shared" si="1"/>
        <v>4.3992706354385112E-4</v>
      </c>
      <c r="E17" s="158"/>
      <c r="F17" s="150">
        <f>VLOOKUP(A17,'OPEB Amounts_Report'!$A$10:$A$319,1,FALSE)</f>
        <v>2343</v>
      </c>
      <c r="G17" s="5">
        <f>VLOOKUP(A17,'Change in Proportion Calc'!$A$5:$A$311,1,FALSE)</f>
        <v>2343</v>
      </c>
      <c r="H17" s="87"/>
    </row>
    <row r="18" spans="1:8">
      <c r="A18" s="10">
        <v>2435</v>
      </c>
      <c r="B18" s="11" t="str">
        <f t="shared" si="2"/>
        <v>ALBUQUERQUE COLLEGIATE</v>
      </c>
      <c r="C18" s="135">
        <f t="shared" si="0"/>
        <v>36949</v>
      </c>
      <c r="D18" s="137">
        <f t="shared" si="1"/>
        <v>2.7245834848946959E-4</v>
      </c>
      <c r="E18" s="158"/>
      <c r="F18" s="150">
        <f>VLOOKUP(A18,'OPEB Amounts_Report'!$A$10:$A$319,1,FALSE)</f>
        <v>2435</v>
      </c>
      <c r="G18" s="5">
        <f>VLOOKUP(A18,'Change in Proportion Calc'!$A$5:$A$311,1,FALSE)</f>
        <v>2435</v>
      </c>
      <c r="H18" s="87"/>
    </row>
    <row r="19" spans="1:8">
      <c r="A19" s="12">
        <v>4560</v>
      </c>
      <c r="B19" s="13" t="str">
        <f t="shared" si="2"/>
        <v>ALBUQUERQUE HOUSING AUTHORITY</v>
      </c>
      <c r="C19" s="136">
        <f t="shared" si="0"/>
        <v>71558</v>
      </c>
      <c r="D19" s="138">
        <f t="shared" si="1"/>
        <v>5.2766176354460104E-4</v>
      </c>
      <c r="E19" s="158"/>
      <c r="F19" s="150">
        <f>VLOOKUP(A19,'OPEB Amounts_Report'!$A$10:$A$319,1,FALSE)</f>
        <v>4560</v>
      </c>
      <c r="G19" s="5">
        <f>VLOOKUP(A19,'Change in Proportion Calc'!$A$5:$A$311,1,FALSE)</f>
        <v>4560</v>
      </c>
      <c r="H19" s="87"/>
    </row>
    <row r="20" spans="1:8">
      <c r="A20" s="10">
        <v>2341</v>
      </c>
      <c r="B20" s="11" t="str">
        <f t="shared" si="2"/>
        <v xml:space="preserve">ALBUQUERQUE INSTITUTE FOR MATHEMATICS AND SCIENCE </v>
      </c>
      <c r="C20" s="135">
        <f t="shared" si="0"/>
        <v>45189</v>
      </c>
      <c r="D20" s="137">
        <f t="shared" si="1"/>
        <v>3.3321931066850632E-4</v>
      </c>
      <c r="E20" s="158"/>
      <c r="F20" s="150">
        <f>VLOOKUP(A20,'OPEB Amounts_Report'!$A$10:$A$319,1,FALSE)</f>
        <v>2341</v>
      </c>
      <c r="G20" s="5">
        <f>VLOOKUP(A20,'Change in Proportion Calc'!$A$5:$A$311,1,FALSE)</f>
        <v>2341</v>
      </c>
      <c r="H20" s="87"/>
    </row>
    <row r="21" spans="1:8">
      <c r="A21" s="12">
        <v>4580</v>
      </c>
      <c r="B21" s="13" t="str">
        <f t="shared" si="2"/>
        <v>ALBUQUERQUE METROPOLITAN ARROYO FLOOD CONTROL AUTHORITY</v>
      </c>
      <c r="C21" s="136">
        <f t="shared" si="0"/>
        <v>45586</v>
      </c>
      <c r="D21" s="138">
        <f t="shared" si="1"/>
        <v>3.3614675022980217E-4</v>
      </c>
      <c r="E21" s="158"/>
      <c r="F21" s="150">
        <f>VLOOKUP(A21,'OPEB Amounts_Report'!$A$10:$A$319,1,FALSE)</f>
        <v>4580</v>
      </c>
      <c r="G21" s="5">
        <f>VLOOKUP(A21,'Change in Proportion Calc'!$A$5:$A$311,1,FALSE)</f>
        <v>4580</v>
      </c>
      <c r="H21" s="87"/>
    </row>
    <row r="22" spans="1:8">
      <c r="A22" s="10">
        <v>2003</v>
      </c>
      <c r="B22" s="11" t="str">
        <f t="shared" si="2"/>
        <v>ALBUQUERQUE PUBLIC SCHOOLS</v>
      </c>
      <c r="C22" s="135">
        <f t="shared" si="0"/>
        <v>14312322</v>
      </c>
      <c r="D22" s="137">
        <f t="shared" si="1"/>
        <v>0.10553767666701405</v>
      </c>
      <c r="E22" s="158"/>
      <c r="F22" s="150">
        <f>VLOOKUP(A22,'OPEB Amounts_Report'!$A$10:$A$319,1,FALSE)</f>
        <v>2003</v>
      </c>
      <c r="G22" s="5">
        <f>VLOOKUP(A22,'Change in Proportion Calc'!$A$5:$A$311,1,FALSE)</f>
        <v>2003</v>
      </c>
      <c r="H22" s="87"/>
    </row>
    <row r="23" spans="1:8">
      <c r="A23" s="12">
        <v>2412</v>
      </c>
      <c r="B23" s="13" t="str">
        <f t="shared" si="2"/>
        <v>ALBUQUERQUE SCHOOL OF EXCELLENCE</v>
      </c>
      <c r="C23" s="136">
        <f t="shared" si="0"/>
        <v>150163</v>
      </c>
      <c r="D23" s="138">
        <f t="shared" si="1"/>
        <v>1.1072874227779973E-3</v>
      </c>
      <c r="E23" s="158"/>
      <c r="F23" s="150">
        <f>VLOOKUP(A23,'OPEB Amounts_Report'!$A$10:$A$319,1,FALSE)</f>
        <v>2412</v>
      </c>
      <c r="G23" s="5">
        <f>VLOOKUP(A23,'Change in Proportion Calc'!$A$5:$A$311,1,FALSE)</f>
        <v>2412</v>
      </c>
      <c r="H23" s="87"/>
    </row>
    <row r="24" spans="1:8">
      <c r="A24" s="10">
        <v>2402</v>
      </c>
      <c r="B24" s="11" t="str">
        <f t="shared" si="2"/>
        <v>ALBUQUERQUE SIGN LANGUAGE ACADEMY</v>
      </c>
      <c r="C24" s="135">
        <f t="shared" si="0"/>
        <v>77318</v>
      </c>
      <c r="D24" s="137">
        <f t="shared" si="1"/>
        <v>5.7013544584451023E-4</v>
      </c>
      <c r="E24" s="158"/>
      <c r="F24" s="150">
        <f>VLOOKUP(A24,'OPEB Amounts_Report'!$A$10:$A$319,1,FALSE)</f>
        <v>2402</v>
      </c>
      <c r="G24" s="5">
        <f>VLOOKUP(A24,'Change in Proportion Calc'!$A$5:$A$311,1,FALSE)</f>
        <v>2402</v>
      </c>
      <c r="H24" s="87"/>
    </row>
    <row r="25" spans="1:8">
      <c r="A25" s="12">
        <v>2361</v>
      </c>
      <c r="B25" s="13" t="str">
        <f t="shared" si="2"/>
        <v>ALBUQUERQUE TALENT DEVELOPMENT SECONDARY CHARTER SCHOOL</v>
      </c>
      <c r="C25" s="136">
        <f t="shared" si="0"/>
        <v>22635</v>
      </c>
      <c r="D25" s="138">
        <f t="shared" si="1"/>
        <v>1.669082984129244E-4</v>
      </c>
      <c r="E25" s="158"/>
      <c r="F25" s="150">
        <f>VLOOKUP(A25,'OPEB Amounts_Report'!$A$10:$A$319,1,FALSE)</f>
        <v>2361</v>
      </c>
      <c r="G25" s="5">
        <f>VLOOKUP(A25,'Change in Proportion Calc'!$A$5:$A$311,1,FALSE)</f>
        <v>2361</v>
      </c>
      <c r="H25" s="87"/>
    </row>
    <row r="26" spans="1:8">
      <c r="A26" s="10">
        <v>8347</v>
      </c>
      <c r="B26" s="11" t="str">
        <f t="shared" si="2"/>
        <v>ALDO LEOPOLD CHARTER SCHOOL</v>
      </c>
      <c r="C26" s="135">
        <f t="shared" si="0"/>
        <v>35424</v>
      </c>
      <c r="D26" s="137">
        <f t="shared" si="1"/>
        <v>2.6121314614444154E-4</v>
      </c>
      <c r="E26" s="158"/>
      <c r="F26" s="150">
        <f>VLOOKUP(A26,'OPEB Amounts_Report'!$A$10:$A$319,1,FALSE)</f>
        <v>8347</v>
      </c>
      <c r="G26" s="5">
        <f>VLOOKUP(A26,'Change in Proportion Calc'!$A$5:$A$311,1,FALSE)</f>
        <v>8347</v>
      </c>
      <c r="H26" s="87"/>
    </row>
    <row r="27" spans="1:8">
      <c r="A27" s="12">
        <v>2356</v>
      </c>
      <c r="B27" s="13" t="str">
        <f t="shared" si="2"/>
        <v>ALICE KING COMMUNITY SCHOOL</v>
      </c>
      <c r="C27" s="136">
        <f t="shared" si="0"/>
        <v>78038</v>
      </c>
      <c r="D27" s="138">
        <f t="shared" si="1"/>
        <v>5.7544465613199893E-4</v>
      </c>
      <c r="E27" s="158"/>
      <c r="F27" s="150">
        <f>VLOOKUP(A27,'OPEB Amounts_Report'!$A$10:$A$319,1,FALSE)</f>
        <v>2356</v>
      </c>
      <c r="G27" s="5">
        <f>VLOOKUP(A27,'Change in Proportion Calc'!$A$5:$A$311,1,FALSE)</f>
        <v>2356</v>
      </c>
      <c r="H27" s="87"/>
    </row>
    <row r="28" spans="1:8">
      <c r="A28" s="10">
        <v>7335</v>
      </c>
      <c r="B28" s="11" t="str">
        <f t="shared" si="2"/>
        <v>ALMA D' ARTE CHARTER HIGH</v>
      </c>
      <c r="C28" s="135">
        <f t="shared" si="0"/>
        <v>18626</v>
      </c>
      <c r="D28" s="137">
        <f t="shared" si="1"/>
        <v>1.3734632057606051E-4</v>
      </c>
      <c r="E28" s="158"/>
      <c r="F28" s="150">
        <f>VLOOKUP(A28,'OPEB Amounts_Report'!$A$10:$A$319,1,FALSE)</f>
        <v>7335</v>
      </c>
      <c r="G28" s="5">
        <f>VLOOKUP(A28,'Change in Proportion Calc'!$A$5:$A$311,1,FALSE)</f>
        <v>7335</v>
      </c>
      <c r="H28" s="87"/>
    </row>
    <row r="29" spans="1:8">
      <c r="A29" s="12">
        <v>2434</v>
      </c>
      <c r="B29" s="13" t="str">
        <f t="shared" si="2"/>
        <v>ALTURA PREPARATORY SCHOOL</v>
      </c>
      <c r="C29" s="136">
        <f t="shared" si="0"/>
        <v>31559</v>
      </c>
      <c r="D29" s="138">
        <f t="shared" si="1"/>
        <v>2.3271301036507539E-4</v>
      </c>
      <c r="E29" s="158"/>
      <c r="F29" s="150">
        <f>VLOOKUP(A29,'OPEB Amounts_Report'!$A$10:$A$319,1,FALSE)</f>
        <v>2434</v>
      </c>
      <c r="G29" s="5">
        <f>VLOOKUP(A29,'Change in Proportion Calc'!$A$5:$A$311,1,FALSE)</f>
        <v>2434</v>
      </c>
      <c r="H29" s="87"/>
    </row>
    <row r="30" spans="1:8">
      <c r="A30" s="10">
        <v>2303</v>
      </c>
      <c r="B30" s="11" t="str">
        <f t="shared" si="2"/>
        <v>AMY BIEHL CHARTER SCHOOL</v>
      </c>
      <c r="C30" s="135">
        <f t="shared" si="0"/>
        <v>45140</v>
      </c>
      <c r="D30" s="137">
        <f t="shared" si="1"/>
        <v>3.3285798941283003E-4</v>
      </c>
      <c r="E30" s="158"/>
      <c r="F30" s="150">
        <f>VLOOKUP(A30,'OPEB Amounts_Report'!$A$10:$A$319,1,FALSE)</f>
        <v>2303</v>
      </c>
      <c r="G30" s="5">
        <f>VLOOKUP(A30,'Change in Proportion Calc'!$A$5:$A$311,1,FALSE)</f>
        <v>2303</v>
      </c>
      <c r="H30" s="87"/>
    </row>
    <row r="31" spans="1:8">
      <c r="A31" s="12">
        <v>20316</v>
      </c>
      <c r="B31" s="13" t="str">
        <f t="shared" si="2"/>
        <v>ANANSI CHARTER SCHOOL</v>
      </c>
      <c r="C31" s="136">
        <f t="shared" si="0"/>
        <v>35347</v>
      </c>
      <c r="D31" s="138">
        <f t="shared" si="1"/>
        <v>2.6064535559980735E-4</v>
      </c>
      <c r="E31" s="158"/>
      <c r="F31" s="150">
        <f>VLOOKUP(A31,'OPEB Amounts_Report'!$A$10:$A$319,1,FALSE)</f>
        <v>20316</v>
      </c>
      <c r="G31" s="5">
        <f>VLOOKUP(A31,'Change in Proportion Calc'!$A$5:$A$311,1,FALSE)</f>
        <v>20316</v>
      </c>
      <c r="H31" s="87"/>
    </row>
    <row r="32" spans="1:8">
      <c r="A32" s="10">
        <v>23121</v>
      </c>
      <c r="B32" s="11" t="str">
        <f t="shared" si="2"/>
        <v>ANIMAS PUBLIC SCHOOLS</v>
      </c>
      <c r="C32" s="135">
        <f t="shared" si="0"/>
        <v>45509</v>
      </c>
      <c r="D32" s="137">
        <f t="shared" si="1"/>
        <v>3.3557895968516798E-4</v>
      </c>
      <c r="E32" s="158"/>
      <c r="F32" s="150">
        <f>VLOOKUP(A32,'OPEB Amounts_Report'!$A$10:$A$319,1,FALSE)</f>
        <v>23121</v>
      </c>
      <c r="G32" s="5">
        <f>VLOOKUP(A32,'Change in Proportion Calc'!$A$5:$A$311,1,FALSE)</f>
        <v>23121</v>
      </c>
      <c r="H32" s="87"/>
    </row>
    <row r="33" spans="1:8">
      <c r="A33" s="12">
        <v>3004</v>
      </c>
      <c r="B33" s="13" t="str">
        <f t="shared" si="2"/>
        <v>ARTESIA PUBLIC SCHOOLS</v>
      </c>
      <c r="C33" s="136">
        <f t="shared" si="0"/>
        <v>620313</v>
      </c>
      <c r="D33" s="138">
        <f t="shared" si="1"/>
        <v>4.5741280014763141E-3</v>
      </c>
      <c r="E33" s="158"/>
      <c r="F33" s="150">
        <f>VLOOKUP(A33,'OPEB Amounts_Report'!$A$10:$A$319,1,FALSE)</f>
        <v>3004</v>
      </c>
      <c r="G33" s="5">
        <f>VLOOKUP(A33,'Change in Proportion Calc'!$A$5:$A$311,1,FALSE)</f>
        <v>3004</v>
      </c>
      <c r="H33" s="87"/>
    </row>
    <row r="34" spans="1:8">
      <c r="A34" s="10">
        <v>16050</v>
      </c>
      <c r="B34" s="11" t="str">
        <f t="shared" si="2"/>
        <v>AZTEC MUNICIPAL SCHOOLS</v>
      </c>
      <c r="C34" s="135">
        <f t="shared" si="0"/>
        <v>407778</v>
      </c>
      <c r="D34" s="137">
        <f t="shared" si="1"/>
        <v>3.0069154897382588E-3</v>
      </c>
      <c r="E34" s="158"/>
      <c r="F34" s="150">
        <f>VLOOKUP(A34,'OPEB Amounts_Report'!$A$10:$A$319,1,FALSE)</f>
        <v>16050</v>
      </c>
      <c r="G34" s="5">
        <f>VLOOKUP(A34,'Change in Proportion Calc'!$A$5:$A$311,1,FALSE)</f>
        <v>16050</v>
      </c>
      <c r="H34" s="87"/>
    </row>
    <row r="35" spans="1:8">
      <c r="A35" s="12">
        <v>14043</v>
      </c>
      <c r="B35" s="13" t="str">
        <f t="shared" si="2"/>
        <v>BELEN CONSOLIDATED SCHOOLS</v>
      </c>
      <c r="C35" s="136">
        <f t="shared" si="0"/>
        <v>622012</v>
      </c>
      <c r="D35" s="138">
        <f t="shared" si="1"/>
        <v>4.5866562629741526E-3</v>
      </c>
      <c r="E35" s="158"/>
      <c r="F35" s="150">
        <f>VLOOKUP(A35,'OPEB Amounts_Report'!$A$10:$A$319,1,FALSE)</f>
        <v>14043</v>
      </c>
      <c r="G35" s="5">
        <f>VLOOKUP(A35,'Change in Proportion Calc'!$A$5:$A$311,1,FALSE)</f>
        <v>14043</v>
      </c>
      <c r="H35" s="87"/>
    </row>
    <row r="36" spans="1:8">
      <c r="A36" s="10" t="s">
        <v>506</v>
      </c>
      <c r="B36" s="11" t="str">
        <f t="shared" si="2"/>
        <v>BERNALILLO COUNTY</v>
      </c>
      <c r="C36" s="135">
        <f t="shared" si="0"/>
        <v>4224329</v>
      </c>
      <c r="D36" s="137">
        <f t="shared" si="1"/>
        <v>3.1149793034078662E-2</v>
      </c>
      <c r="E36" s="158"/>
      <c r="F36" s="150" t="str">
        <f>VLOOKUP(A36,'OPEB Amounts_Report'!$A$10:$A$319,1,FALSE)</f>
        <v>P3010</v>
      </c>
      <c r="G36" s="5" t="str">
        <f>VLOOKUP(A36,'Change in Proportion Calc'!$A$5:$A$311,1,FALSE)</f>
        <v>P3010</v>
      </c>
      <c r="H36" s="87"/>
    </row>
    <row r="37" spans="1:8">
      <c r="A37" s="12">
        <v>29086</v>
      </c>
      <c r="B37" s="13" t="str">
        <f t="shared" si="2"/>
        <v>BERNALILLO PUBLIC SCHOOLS</v>
      </c>
      <c r="C37" s="136">
        <f t="shared" si="0"/>
        <v>670642</v>
      </c>
      <c r="D37" s="138">
        <f t="shared" si="1"/>
        <v>4.945249174474948E-3</v>
      </c>
      <c r="E37" s="158"/>
      <c r="F37" s="150">
        <f>VLOOKUP(A37,'OPEB Amounts_Report'!$A$10:$A$319,1,FALSE)</f>
        <v>29086</v>
      </c>
      <c r="G37" s="5">
        <f>VLOOKUP(A37,'Change in Proportion Calc'!$A$5:$A$311,1,FALSE)</f>
        <v>29086</v>
      </c>
      <c r="H37" s="87"/>
    </row>
    <row r="38" spans="1:8">
      <c r="A38" s="10">
        <v>16051</v>
      </c>
      <c r="B38" s="11" t="str">
        <f t="shared" si="2"/>
        <v>BLOOMFIELD MUNICIPAL SCHOOLS</v>
      </c>
      <c r="C38" s="135">
        <f t="shared" si="0"/>
        <v>486463</v>
      </c>
      <c r="D38" s="137">
        <f t="shared" si="1"/>
        <v>3.5871310612258203E-3</v>
      </c>
      <c r="E38" s="158"/>
      <c r="F38" s="150">
        <f>VLOOKUP(A38,'OPEB Amounts_Report'!$A$10:$A$319,1,FALSE)</f>
        <v>16051</v>
      </c>
      <c r="G38" s="5">
        <f>VLOOKUP(A38,'Change in Proportion Calc'!$A$5:$A$311,1,FALSE)</f>
        <v>16051</v>
      </c>
      <c r="H38" s="87"/>
    </row>
    <row r="39" spans="1:8">
      <c r="A39" s="12">
        <v>26077</v>
      </c>
      <c r="B39" s="13" t="str">
        <f t="shared" si="2"/>
        <v>CAPITAN MUNICIPAL SCHOOLS</v>
      </c>
      <c r="C39" s="136">
        <f t="shared" si="0"/>
        <v>103236</v>
      </c>
      <c r="D39" s="138">
        <f t="shared" si="1"/>
        <v>7.6125226838774749E-4</v>
      </c>
      <c r="E39" s="158"/>
      <c r="F39" s="150">
        <f>VLOOKUP(A39,'OPEB Amounts_Report'!$A$10:$A$319,1,FALSE)</f>
        <v>26077</v>
      </c>
      <c r="G39" s="5">
        <f>VLOOKUP(A39,'Change in Proportion Calc'!$A$5:$A$311,1,FALSE)</f>
        <v>26077</v>
      </c>
      <c r="H39" s="87"/>
    </row>
    <row r="40" spans="1:8">
      <c r="A40" s="10">
        <v>3005</v>
      </c>
      <c r="B40" s="11" t="str">
        <f t="shared" si="2"/>
        <v>CARLSBAD MUNICIPAL SCHOOLS</v>
      </c>
      <c r="C40" s="135">
        <f t="shared" si="0"/>
        <v>1204741</v>
      </c>
      <c r="D40" s="137">
        <f t="shared" si="1"/>
        <v>8.8836434874435596E-3</v>
      </c>
      <c r="E40" s="158"/>
      <c r="F40" s="150">
        <f>VLOOKUP(A40,'OPEB Amounts_Report'!$A$10:$A$319,1,FALSE)</f>
        <v>3005</v>
      </c>
      <c r="G40" s="5">
        <f>VLOOKUP(A40,'Change in Proportion Calc'!$A$5:$A$311,1,FALSE)</f>
        <v>3005</v>
      </c>
      <c r="H40" s="87"/>
    </row>
    <row r="41" spans="1:8">
      <c r="A41" s="12">
        <v>26078</v>
      </c>
      <c r="B41" s="13" t="str">
        <f t="shared" si="2"/>
        <v>CARRIZOZO MUNICIPAL SCHOOLS</v>
      </c>
      <c r="C41" s="136">
        <f t="shared" si="0"/>
        <v>40229</v>
      </c>
      <c r="D41" s="138">
        <f t="shared" si="1"/>
        <v>2.9664475091025118E-4</v>
      </c>
      <c r="E41" s="158"/>
      <c r="F41" s="150">
        <f>VLOOKUP(A41,'OPEB Amounts_Report'!$A$10:$A$319,1,FALSE)</f>
        <v>26078</v>
      </c>
      <c r="G41" s="5">
        <f>VLOOKUP(A41,'Change in Proportion Calc'!$A$5:$A$311,1,FALSE)</f>
        <v>26078</v>
      </c>
      <c r="H41" s="87"/>
    </row>
    <row r="42" spans="1:8">
      <c r="A42" s="10">
        <v>16053</v>
      </c>
      <c r="B42" s="11" t="str">
        <f t="shared" si="2"/>
        <v>CENTRAL CONSOLIDATED SCHOOL DISTRICT #22</v>
      </c>
      <c r="C42" s="135">
        <f t="shared" si="0"/>
        <v>1181565</v>
      </c>
      <c r="D42" s="137">
        <f t="shared" si="1"/>
        <v>8.712745907411841E-3</v>
      </c>
      <c r="E42" s="158"/>
      <c r="F42" s="150">
        <f>VLOOKUP(A42,'OPEB Amounts_Report'!$A$10:$A$319,1,FALSE)</f>
        <v>16053</v>
      </c>
      <c r="G42" s="5">
        <f>VLOOKUP(A42,'Change in Proportion Calc'!$A$5:$A$311,1,FALSE)</f>
        <v>16053</v>
      </c>
      <c r="H42" s="87"/>
    </row>
    <row r="43" spans="1:8">
      <c r="A43" s="12">
        <v>2123</v>
      </c>
      <c r="B43" s="13" t="str">
        <f t="shared" si="2"/>
        <v>CENTRAL NEW MEXICO COMMUNITY COLLEGE</v>
      </c>
      <c r="C43" s="136">
        <f t="shared" si="0"/>
        <v>2142291</v>
      </c>
      <c r="D43" s="138">
        <f t="shared" si="1"/>
        <v>1.5797046411103258E-2</v>
      </c>
      <c r="E43" s="158"/>
      <c r="F43" s="150">
        <f>VLOOKUP(A43,'OPEB Amounts_Report'!$A$10:$A$319,1,FALSE)</f>
        <v>2123</v>
      </c>
      <c r="G43" s="5">
        <f>VLOOKUP(A43,'Change in Proportion Calc'!$A$5:$A$311,1,FALSE)</f>
        <v>2123</v>
      </c>
      <c r="H43" s="87"/>
    </row>
    <row r="44" spans="1:8">
      <c r="A44" s="10">
        <v>2150</v>
      </c>
      <c r="B44" s="11" t="str">
        <f t="shared" si="2"/>
        <v>CENTRAL REGION EDUCATION COOPERATIVE</v>
      </c>
      <c r="C44" s="135">
        <f t="shared" si="0"/>
        <v>188293</v>
      </c>
      <c r="D44" s="137">
        <f t="shared" si="1"/>
        <v>1.3884543509195837E-3</v>
      </c>
      <c r="E44" s="158"/>
      <c r="F44" s="150">
        <f>VLOOKUP(A44,'OPEB Amounts_Report'!$A$10:$A$319,1,FALSE)</f>
        <v>2150</v>
      </c>
      <c r="G44" s="5">
        <f>VLOOKUP(A44,'Change in Proportion Calc'!$A$5:$A$311,1,FALSE)</f>
        <v>2150</v>
      </c>
      <c r="H44" s="87"/>
    </row>
    <row r="45" spans="1:8">
      <c r="A45" s="12">
        <v>2336</v>
      </c>
      <c r="B45" s="13" t="str">
        <f t="shared" si="2"/>
        <v>CESAR CHAVEZ COMMUNITY CHARTER SCHOOL</v>
      </c>
      <c r="C45" s="136">
        <f t="shared" si="0"/>
        <v>34147</v>
      </c>
      <c r="D45" s="138">
        <f t="shared" si="1"/>
        <v>2.5179667178732627E-4</v>
      </c>
      <c r="E45" s="158"/>
      <c r="F45" s="150">
        <f>VLOOKUP(A45,'OPEB Amounts_Report'!$A$10:$A$319,1,FALSE)</f>
        <v>2336</v>
      </c>
      <c r="G45" s="5">
        <f>VLOOKUP(A45,'Change in Proportion Calc'!$A$5:$A$311,1,FALSE)</f>
        <v>2336</v>
      </c>
      <c r="H45" s="87"/>
    </row>
    <row r="46" spans="1:8">
      <c r="A46" s="10">
        <v>17126</v>
      </c>
      <c r="B46" s="11" t="str">
        <f t="shared" si="2"/>
        <v>CHAMA VALLEY INDEPENDENT SCHOOLS</v>
      </c>
      <c r="C46" s="135">
        <f t="shared" si="0"/>
        <v>93337</v>
      </c>
      <c r="D46" s="137">
        <f t="shared" si="1"/>
        <v>6.8825800083795565E-4</v>
      </c>
      <c r="E46" s="158"/>
      <c r="F46" s="150">
        <f>VLOOKUP(A46,'OPEB Amounts_Report'!$A$10:$A$319,1,FALSE)</f>
        <v>17126</v>
      </c>
      <c r="G46" s="5">
        <f>VLOOKUP(A46,'Change in Proportion Calc'!$A$5:$A$311,1,FALSE)</f>
        <v>17126</v>
      </c>
      <c r="H46" s="87"/>
    </row>
    <row r="47" spans="1:8">
      <c r="A47" s="12">
        <v>3030</v>
      </c>
      <c r="B47" s="13" t="str">
        <f t="shared" si="2"/>
        <v>CHAVES COUNTY</v>
      </c>
      <c r="C47" s="136">
        <f t="shared" si="0"/>
        <v>258770</v>
      </c>
      <c r="D47" s="138">
        <f t="shared" si="1"/>
        <v>1.9081449251297745E-3</v>
      </c>
      <c r="E47" s="158"/>
      <c r="F47" s="150">
        <f>VLOOKUP(A47,'OPEB Amounts_Report'!$A$10:$A$319,1,FALSE)</f>
        <v>3030</v>
      </c>
      <c r="G47" s="5">
        <f>VLOOKUP(A47,'Change in Proportion Calc'!$A$5:$A$311,1,FALSE)</f>
        <v>3030</v>
      </c>
      <c r="H47" s="87"/>
    </row>
    <row r="48" spans="1:8">
      <c r="A48" s="10">
        <v>2353</v>
      </c>
      <c r="B48" s="11" t="str">
        <f t="shared" si="2"/>
        <v>CHRISTINE DUNCAN'S HERITAGE ACADEMY</v>
      </c>
      <c r="C48" s="135">
        <f t="shared" si="0"/>
        <v>115745</v>
      </c>
      <c r="D48" s="137">
        <f t="shared" si="1"/>
        <v>8.5349242322968564E-4</v>
      </c>
      <c r="E48" s="158"/>
      <c r="F48" s="150">
        <f>VLOOKUP(A48,'OPEB Amounts_Report'!$A$10:$A$319,1,FALSE)</f>
        <v>2353</v>
      </c>
      <c r="G48" s="5">
        <f>VLOOKUP(A48,'Change in Proportion Calc'!$A$5:$A$311,1,FALSE)</f>
        <v>2353</v>
      </c>
      <c r="H48" s="87"/>
    </row>
    <row r="49" spans="1:8">
      <c r="A49" s="12">
        <v>3040</v>
      </c>
      <c r="B49" s="13" t="str">
        <f t="shared" si="2"/>
        <v>CIBOLA COUNTY</v>
      </c>
      <c r="C49" s="136">
        <f t="shared" si="0"/>
        <v>114865</v>
      </c>
      <c r="D49" s="138">
        <f t="shared" si="1"/>
        <v>8.4700338843386627E-4</v>
      </c>
      <c r="E49" s="158"/>
      <c r="F49" s="150">
        <f>VLOOKUP(A49,'OPEB Amounts_Report'!$A$10:$A$319,1,FALSE)</f>
        <v>3040</v>
      </c>
      <c r="G49" s="5">
        <f>VLOOKUP(A49,'Change in Proportion Calc'!$A$5:$A$311,1,FALSE)</f>
        <v>3040</v>
      </c>
      <c r="H49" s="87"/>
    </row>
    <row r="50" spans="1:8">
      <c r="A50" s="10">
        <v>2367</v>
      </c>
      <c r="B50" s="11" t="str">
        <f t="shared" si="2"/>
        <v>CIEN AGUAS INTERNATIONAL CHARTER SCHOOL</v>
      </c>
      <c r="C50" s="135">
        <f t="shared" si="0"/>
        <v>75875</v>
      </c>
      <c r="D50" s="137">
        <f t="shared" si="1"/>
        <v>5.5949490356000178E-4</v>
      </c>
      <c r="E50" s="158"/>
      <c r="F50" s="150">
        <f>VLOOKUP(A50,'OPEB Amounts_Report'!$A$10:$A$319,1,FALSE)</f>
        <v>2367</v>
      </c>
      <c r="G50" s="5">
        <f>VLOOKUP(A50,'Change in Proportion Calc'!$A$5:$A$311,1,FALSE)</f>
        <v>2367</v>
      </c>
      <c r="H50" s="87"/>
    </row>
    <row r="51" spans="1:8">
      <c r="A51" s="12">
        <v>9027</v>
      </c>
      <c r="B51" s="13" t="str">
        <f t="shared" si="2"/>
        <v>CIMARRON MUNICIPAL SCHOOLS</v>
      </c>
      <c r="C51" s="136">
        <f t="shared" si="0"/>
        <v>87835</v>
      </c>
      <c r="D51" s="138">
        <f t="shared" si="1"/>
        <v>6.4768678555772983E-4</v>
      </c>
      <c r="E51" s="158"/>
      <c r="F51" s="150">
        <f>VLOOKUP(A51,'OPEB Amounts_Report'!$A$10:$A$319,1,FALSE)</f>
        <v>9027</v>
      </c>
      <c r="G51" s="5">
        <f>VLOOKUP(A51,'Change in Proportion Calc'!$A$5:$A$311,1,FALSE)</f>
        <v>9027</v>
      </c>
      <c r="H51" s="87"/>
    </row>
    <row r="52" spans="1:8">
      <c r="A52" s="10">
        <v>2010</v>
      </c>
      <c r="B52" s="11" t="str">
        <f t="shared" si="2"/>
        <v>CITY OF ALAMOGORDO</v>
      </c>
      <c r="C52" s="135">
        <f t="shared" si="0"/>
        <v>337541</v>
      </c>
      <c r="D52" s="137">
        <f t="shared" si="1"/>
        <v>2.488994652290564E-3</v>
      </c>
      <c r="E52" s="158"/>
      <c r="F52" s="150">
        <f>VLOOKUP(A52,'OPEB Amounts_Report'!$A$10:$A$319,1,FALSE)</f>
        <v>2010</v>
      </c>
      <c r="G52" s="5">
        <f>VLOOKUP(A52,'Change in Proportion Calc'!$A$5:$A$311,1,FALSE)</f>
        <v>2010</v>
      </c>
      <c r="H52" s="87"/>
    </row>
    <row r="53" spans="1:8">
      <c r="A53" s="12">
        <v>2020</v>
      </c>
      <c r="B53" s="13" t="str">
        <f t="shared" si="2"/>
        <v>CITY OF ALBUQUERQUE</v>
      </c>
      <c r="C53" s="136">
        <f t="shared" si="0"/>
        <v>8878549</v>
      </c>
      <c r="D53" s="138">
        <f t="shared" si="1"/>
        <v>6.5469560678850083E-2</v>
      </c>
      <c r="E53" s="158"/>
      <c r="F53" s="150">
        <f>VLOOKUP(A53,'OPEB Amounts_Report'!$A$10:$A$319,1,FALSE)</f>
        <v>2020</v>
      </c>
      <c r="G53" s="5">
        <f>VLOOKUP(A53,'Change in Proportion Calc'!$A$5:$A$311,1,FALSE)</f>
        <v>2020</v>
      </c>
      <c r="H53" s="87"/>
    </row>
    <row r="54" spans="1:8">
      <c r="A54" s="10">
        <v>2040</v>
      </c>
      <c r="B54" s="11" t="str">
        <f t="shared" si="2"/>
        <v>CITY OF AZTEC</v>
      </c>
      <c r="C54" s="135">
        <f t="shared" si="0"/>
        <v>118601</v>
      </c>
      <c r="D54" s="137">
        <f t="shared" si="1"/>
        <v>8.7455229070339062E-4</v>
      </c>
      <c r="E54" s="158"/>
      <c r="F54" s="150">
        <f>VLOOKUP(A54,'OPEB Amounts_Report'!$A$10:$A$319,1,FALSE)</f>
        <v>2040</v>
      </c>
      <c r="G54" s="5">
        <f>VLOOKUP(A54,'Change in Proportion Calc'!$A$5:$A$311,1,FALSE)</f>
        <v>2040</v>
      </c>
      <c r="H54" s="87"/>
    </row>
    <row r="55" spans="1:8">
      <c r="A55" s="12">
        <v>2060</v>
      </c>
      <c r="B55" s="13" t="str">
        <f t="shared" si="2"/>
        <v>CITY OF BELEN</v>
      </c>
      <c r="C55" s="136">
        <f t="shared" si="0"/>
        <v>175690</v>
      </c>
      <c r="D55" s="138">
        <f t="shared" si="1"/>
        <v>1.2955210491790011E-3</v>
      </c>
      <c r="E55" s="158"/>
      <c r="F55" s="150">
        <f>VLOOKUP(A55,'OPEB Amounts_Report'!$A$10:$A$319,1,FALSE)</f>
        <v>2060</v>
      </c>
      <c r="G55" s="5">
        <f>VLOOKUP(A55,'Change in Proportion Calc'!$A$5:$A$311,1,FALSE)</f>
        <v>2060</v>
      </c>
      <c r="H55" s="87"/>
    </row>
    <row r="56" spans="1:8">
      <c r="A56" s="10">
        <v>2090</v>
      </c>
      <c r="B56" s="11" t="str">
        <f t="shared" si="2"/>
        <v>CITY OF BLOOMFIELD</v>
      </c>
      <c r="C56" s="135">
        <f t="shared" si="0"/>
        <v>103297</v>
      </c>
      <c r="D56" s="137">
        <f t="shared" si="1"/>
        <v>7.6170207648154859E-4</v>
      </c>
      <c r="E56" s="158"/>
      <c r="F56" s="150">
        <f>VLOOKUP(A56,'OPEB Amounts_Report'!$A$10:$A$319,1,FALSE)</f>
        <v>2090</v>
      </c>
      <c r="G56" s="5">
        <f>VLOOKUP(A56,'Change in Proportion Calc'!$A$5:$A$311,1,FALSE)</f>
        <v>2090</v>
      </c>
      <c r="H56" s="87"/>
    </row>
    <row r="57" spans="1:8">
      <c r="A57" s="12">
        <v>2110</v>
      </c>
      <c r="B57" s="43" t="str">
        <f t="shared" si="2"/>
        <v>CITY OF CARLSBAD</v>
      </c>
      <c r="C57" s="156">
        <f t="shared" si="0"/>
        <v>721361</v>
      </c>
      <c r="D57" s="140">
        <f t="shared" si="1"/>
        <v>5.3192461697126377E-3</v>
      </c>
      <c r="E57" s="158"/>
      <c r="F57" s="150">
        <f>VLOOKUP(A57,'OPEB Amounts_Report'!$A$10:$A$319,1,FALSE)</f>
        <v>2110</v>
      </c>
      <c r="G57" s="5">
        <f>VLOOKUP(A57,'Change in Proportion Calc'!$A$5:$A$311,1,FALSE)</f>
        <v>2110</v>
      </c>
      <c r="H57" s="87"/>
    </row>
    <row r="58" spans="1:8">
      <c r="A58" s="10">
        <v>2180</v>
      </c>
      <c r="B58" s="11" t="str">
        <f t="shared" si="2"/>
        <v>CITY OF CLOVIS</v>
      </c>
      <c r="C58" s="135">
        <f t="shared" si="0"/>
        <v>347552</v>
      </c>
      <c r="D58" s="137">
        <f t="shared" si="1"/>
        <v>2.5628147969961874E-3</v>
      </c>
      <c r="E58" s="158"/>
      <c r="F58" s="150">
        <f>VLOOKUP(A58,'OPEB Amounts_Report'!$A$10:$A$319,1,FALSE)</f>
        <v>2180</v>
      </c>
      <c r="G58" s="5">
        <f>VLOOKUP(A58,'Change in Proportion Calc'!$A$5:$A$311,1,FALSE)</f>
        <v>2180</v>
      </c>
      <c r="H58" s="87"/>
    </row>
    <row r="59" spans="1:8">
      <c r="A59" s="12">
        <v>2210</v>
      </c>
      <c r="B59" s="13" t="str">
        <f t="shared" si="2"/>
        <v>CITY OF DEMING</v>
      </c>
      <c r="C59" s="136">
        <f t="shared" si="0"/>
        <v>166441</v>
      </c>
      <c r="D59" s="138">
        <f t="shared" si="1"/>
        <v>1.227319818694303E-3</v>
      </c>
      <c r="E59" s="158"/>
      <c r="F59" s="150">
        <f>VLOOKUP(A59,'OPEB Amounts_Report'!$A$10:$A$319,1,FALSE)</f>
        <v>2210</v>
      </c>
      <c r="G59" s="5">
        <f>VLOOKUP(A59,'Change in Proportion Calc'!$A$5:$A$311,1,FALSE)</f>
        <v>2210</v>
      </c>
      <c r="H59" s="87"/>
    </row>
    <row r="60" spans="1:8">
      <c r="A60" s="10">
        <v>2290</v>
      </c>
      <c r="B60" s="11" t="str">
        <f t="shared" si="2"/>
        <v>CITY OF ESPANOLA</v>
      </c>
      <c r="C60" s="135">
        <f t="shared" si="0"/>
        <v>179350</v>
      </c>
      <c r="D60" s="137">
        <f t="shared" si="1"/>
        <v>1.3225095348070683E-3</v>
      </c>
      <c r="E60" s="158"/>
      <c r="F60" s="150">
        <f>VLOOKUP(A60,'OPEB Amounts_Report'!$A$10:$A$319,1,FALSE)</f>
        <v>2290</v>
      </c>
      <c r="G60" s="5">
        <f>VLOOKUP(A60,'Change in Proportion Calc'!$A$5:$A$311,1,FALSE)</f>
        <v>2290</v>
      </c>
      <c r="H60" s="87"/>
    </row>
    <row r="61" spans="1:8">
      <c r="A61" s="12">
        <v>2310</v>
      </c>
      <c r="B61" s="13" t="str">
        <f t="shared" si="2"/>
        <v>CITY OF FARMINGTON</v>
      </c>
      <c r="C61" s="136">
        <f t="shared" si="0"/>
        <v>1140871</v>
      </c>
      <c r="D61" s="138">
        <f t="shared" si="1"/>
        <v>8.4126722915242539E-3</v>
      </c>
      <c r="E61" s="158"/>
      <c r="F61" s="150">
        <f>VLOOKUP(A61,'OPEB Amounts_Report'!$A$10:$A$319,1,FALSE)</f>
        <v>2310</v>
      </c>
      <c r="G61" s="5">
        <f>VLOOKUP(A61,'Change in Proportion Calc'!$A$5:$A$311,1,FALSE)</f>
        <v>2310</v>
      </c>
      <c r="H61" s="87"/>
    </row>
    <row r="62" spans="1:8">
      <c r="A62" s="10">
        <v>2330</v>
      </c>
      <c r="B62" s="11" t="str">
        <f t="shared" si="2"/>
        <v>CITY OF GALLUP</v>
      </c>
      <c r="C62" s="135">
        <f t="shared" si="0"/>
        <v>442849</v>
      </c>
      <c r="D62" s="137">
        <f t="shared" si="1"/>
        <v>3.2655256480611954E-3</v>
      </c>
      <c r="E62" s="158"/>
      <c r="F62" s="150">
        <f>VLOOKUP(A62,'OPEB Amounts_Report'!$A$10:$A$319,1,FALSE)</f>
        <v>2330</v>
      </c>
      <c r="G62" s="5">
        <f>VLOOKUP(A62,'Change in Proportion Calc'!$A$5:$A$311,1,FALSE)</f>
        <v>2330</v>
      </c>
      <c r="H62" s="87"/>
    </row>
    <row r="63" spans="1:8">
      <c r="A63" s="12">
        <v>2380</v>
      </c>
      <c r="B63" s="13" t="str">
        <f t="shared" si="2"/>
        <v>CITY OF JAL</v>
      </c>
      <c r="C63" s="136">
        <f t="shared" si="0"/>
        <v>70131</v>
      </c>
      <c r="D63" s="138">
        <f t="shared" si="1"/>
        <v>5.1713920371092563E-4</v>
      </c>
      <c r="E63" s="158"/>
      <c r="F63" s="150">
        <f>VLOOKUP(A63,'OPEB Amounts_Report'!$A$10:$A$319,1,FALSE)</f>
        <v>2380</v>
      </c>
      <c r="G63" s="5">
        <f>VLOOKUP(A63,'Change in Proportion Calc'!$A$5:$A$311,1,FALSE)</f>
        <v>2380</v>
      </c>
      <c r="H63" s="87"/>
    </row>
    <row r="64" spans="1:8">
      <c r="A64" s="10">
        <v>2400</v>
      </c>
      <c r="B64" s="11" t="str">
        <f t="shared" si="2"/>
        <v>CITY OF LAS CRUCES</v>
      </c>
      <c r="C64" s="135">
        <f t="shared" si="0"/>
        <v>2154182</v>
      </c>
      <c r="D64" s="137">
        <f t="shared" si="1"/>
        <v>1.5884729493781769E-2</v>
      </c>
      <c r="E64" s="158"/>
      <c r="F64" s="150">
        <f>VLOOKUP(A64,'OPEB Amounts_Report'!$A$10:$A$319,1,FALSE)</f>
        <v>2400</v>
      </c>
      <c r="G64" s="5">
        <f>VLOOKUP(A64,'Change in Proportion Calc'!$A$5:$A$311,1,FALSE)</f>
        <v>2400</v>
      </c>
      <c r="H64" s="87"/>
    </row>
    <row r="65" spans="1:8">
      <c r="A65" s="12">
        <v>2410</v>
      </c>
      <c r="B65" s="13" t="str">
        <f t="shared" si="2"/>
        <v>CITY OF LAS VEGAS</v>
      </c>
      <c r="C65" s="136">
        <f t="shared" si="0"/>
        <v>236518</v>
      </c>
      <c r="D65" s="138">
        <f t="shared" si="1"/>
        <v>1.7440608316336671E-3</v>
      </c>
      <c r="E65" s="158"/>
      <c r="F65" s="150">
        <f>VLOOKUP(A65,'OPEB Amounts_Report'!$A$10:$A$319,1,FALSE)</f>
        <v>2410</v>
      </c>
      <c r="G65" s="5">
        <f>VLOOKUP(A65,'Change in Proportion Calc'!$A$5:$A$311,1,FALSE)</f>
        <v>2410</v>
      </c>
      <c r="H65" s="87"/>
    </row>
    <row r="66" spans="1:8">
      <c r="A66" s="10">
        <v>2500</v>
      </c>
      <c r="B66" s="11" t="str">
        <f t="shared" si="2"/>
        <v>CITY OF MORIARTY</v>
      </c>
      <c r="C66" s="135">
        <f t="shared" si="0"/>
        <v>40239</v>
      </c>
      <c r="D66" s="137">
        <f t="shared" si="1"/>
        <v>2.9671848994202186E-4</v>
      </c>
      <c r="E66" s="158"/>
      <c r="F66" s="150">
        <f>VLOOKUP(A66,'OPEB Amounts_Report'!$A$10:$A$319,1,FALSE)</f>
        <v>2500</v>
      </c>
      <c r="G66" s="5">
        <f>VLOOKUP(A66,'Change in Proportion Calc'!$A$5:$A$311,1,FALSE)</f>
        <v>2500</v>
      </c>
      <c r="H66" s="87"/>
    </row>
    <row r="67" spans="1:8">
      <c r="A67" s="12">
        <v>2550</v>
      </c>
      <c r="B67" s="13" t="str">
        <f t="shared" si="2"/>
        <v>CITY OF PORTALES</v>
      </c>
      <c r="C67" s="136">
        <f t="shared" si="0"/>
        <v>146451</v>
      </c>
      <c r="D67" s="138">
        <f t="shared" si="1"/>
        <v>1.0799154941847225E-3</v>
      </c>
      <c r="E67" s="158"/>
      <c r="F67" s="150">
        <f>VLOOKUP(A67,'OPEB Amounts_Report'!$A$10:$A$319,1,FALSE)</f>
        <v>2550</v>
      </c>
      <c r="G67" s="5">
        <f>VLOOKUP(A67,'Change in Proportion Calc'!$A$5:$A$311,1,FALSE)</f>
        <v>2550</v>
      </c>
      <c r="H67" s="87"/>
    </row>
    <row r="68" spans="1:8">
      <c r="A68" s="10">
        <v>2570</v>
      </c>
      <c r="B68" s="11" t="str">
        <f t="shared" si="2"/>
        <v>CITY OF RATON</v>
      </c>
      <c r="C68" s="135">
        <f t="shared" si="0"/>
        <v>99131</v>
      </c>
      <c r="D68" s="137">
        <f t="shared" si="1"/>
        <v>7.3098239584588507E-4</v>
      </c>
      <c r="E68" s="158"/>
      <c r="F68" s="150">
        <f>VLOOKUP(A68,'OPEB Amounts_Report'!$A$10:$A$319,1,FALSE)</f>
        <v>2570</v>
      </c>
      <c r="G68" s="5">
        <f>VLOOKUP(A68,'Change in Proportion Calc'!$A$5:$A$311,1,FALSE)</f>
        <v>2570</v>
      </c>
      <c r="H68" s="87"/>
    </row>
    <row r="69" spans="1:8">
      <c r="A69" s="12">
        <v>2620</v>
      </c>
      <c r="B69" s="13" t="str">
        <f t="shared" si="2"/>
        <v>CITY OF RIO RANCHO</v>
      </c>
      <c r="C69" s="136">
        <f t="shared" si="0"/>
        <v>980023</v>
      </c>
      <c r="D69" s="138">
        <f t="shared" si="1"/>
        <v>7.2265947132992897E-3</v>
      </c>
      <c r="E69" s="158"/>
      <c r="F69" s="150">
        <f>VLOOKUP(A69,'OPEB Amounts_Report'!$A$10:$A$319,1,FALSE)</f>
        <v>2620</v>
      </c>
      <c r="G69" s="5">
        <f>VLOOKUP(A69,'Change in Proportion Calc'!$A$5:$A$311,1,FALSE)</f>
        <v>2620</v>
      </c>
      <c r="H69" s="87"/>
    </row>
    <row r="70" spans="1:8">
      <c r="A70" s="10">
        <v>2630</v>
      </c>
      <c r="B70" s="11" t="str">
        <f t="shared" si="2"/>
        <v>CITY OF ROSWELL</v>
      </c>
      <c r="C70" s="135">
        <f t="shared" si="0"/>
        <v>681670</v>
      </c>
      <c r="D70" s="137">
        <f t="shared" si="1"/>
        <v>5.0265685787116493E-3</v>
      </c>
      <c r="E70" s="158"/>
      <c r="F70" s="150">
        <f>VLOOKUP(A70,'OPEB Amounts_Report'!$A$10:$A$319,1,FALSE)</f>
        <v>2630</v>
      </c>
      <c r="G70" s="5">
        <f>VLOOKUP(A70,'Change in Proportion Calc'!$A$5:$A$311,1,FALSE)</f>
        <v>2630</v>
      </c>
      <c r="H70" s="87"/>
    </row>
    <row r="71" spans="1:8">
      <c r="A71" s="12">
        <v>2690</v>
      </c>
      <c r="B71" s="13" t="str">
        <f t="shared" si="2"/>
        <v>CITY OF SANTA FE</v>
      </c>
      <c r="C71" s="136">
        <f t="shared" si="0"/>
        <v>1903755</v>
      </c>
      <c r="D71" s="138">
        <f t="shared" si="1"/>
        <v>1.4038105042858268E-2</v>
      </c>
      <c r="E71" s="158"/>
      <c r="F71" s="150">
        <f>VLOOKUP(A71,'OPEB Amounts_Report'!$A$10:$A$319,1,FALSE)</f>
        <v>2690</v>
      </c>
      <c r="G71" s="5">
        <f>VLOOKUP(A71,'Change in Proportion Calc'!$A$5:$A$311,1,FALSE)</f>
        <v>2690</v>
      </c>
      <c r="H71" s="87"/>
    </row>
    <row r="72" spans="1:8">
      <c r="A72" s="10">
        <v>2710</v>
      </c>
      <c r="B72" s="11" t="str">
        <f t="shared" si="2"/>
        <v>CITY OF SANTA ROSA</v>
      </c>
      <c r="C72" s="135">
        <f t="shared" si="0"/>
        <v>14800</v>
      </c>
      <c r="D72" s="137">
        <f t="shared" si="1"/>
        <v>1.091337670206E-4</v>
      </c>
      <c r="E72" s="158"/>
      <c r="F72" s="150">
        <f>VLOOKUP(A72,'OPEB Amounts_Report'!$A$10:$A$319,1,FALSE)</f>
        <v>2710</v>
      </c>
      <c r="G72" s="5">
        <f>VLOOKUP(A72,'Change in Proportion Calc'!$A$5:$A$311,1,FALSE)</f>
        <v>2710</v>
      </c>
      <c r="H72" s="87"/>
    </row>
    <row r="73" spans="1:8">
      <c r="A73" s="183">
        <v>2730</v>
      </c>
      <c r="B73" s="184" t="str">
        <f t="shared" si="2"/>
        <v>CITY OF SOCORRO</v>
      </c>
      <c r="C73" s="185">
        <f t="shared" ref="C73:C136" si="3">+VLOOKUP(A73,$D$321:$F$628,3,FALSE)</f>
        <v>159040</v>
      </c>
      <c r="D73" s="186">
        <f t="shared" ref="D73:D136" si="4">+C73/$C$316</f>
        <v>1.1727455612808261E-3</v>
      </c>
      <c r="E73" s="158"/>
      <c r="F73" s="150">
        <f>VLOOKUP(A73,'OPEB Amounts_Report'!$A$10:$A$319,1,FALSE)</f>
        <v>2730</v>
      </c>
      <c r="G73" s="5">
        <f>VLOOKUP(A73,'Change in Proportion Calc'!$A$5:$A$311,1,FALSE)</f>
        <v>2730</v>
      </c>
      <c r="H73" s="87"/>
    </row>
    <row r="74" spans="1:8">
      <c r="A74" s="10">
        <v>2950</v>
      </c>
      <c r="B74" s="11" t="str">
        <f t="shared" si="2"/>
        <v>CITY OF SUNLAND PARK</v>
      </c>
      <c r="C74" s="135">
        <f t="shared" si="3"/>
        <v>131630</v>
      </c>
      <c r="D74" s="137">
        <f t="shared" si="4"/>
        <v>9.7062687519740396E-4</v>
      </c>
      <c r="E74" s="158"/>
      <c r="F74" s="150">
        <f>VLOOKUP(A74,'OPEB Amounts_Report'!$A$10:$A$319,1,FALSE)</f>
        <v>2950</v>
      </c>
      <c r="G74" s="5">
        <f>VLOOKUP(A74,'Change in Proportion Calc'!$A$5:$A$311,1,FALSE)</f>
        <v>2950</v>
      </c>
      <c r="H74" s="87"/>
    </row>
    <row r="75" spans="1:8">
      <c r="A75" s="12">
        <v>2760</v>
      </c>
      <c r="B75" s="13" t="str">
        <f t="shared" ref="B75:B138" si="5">VLOOKUP(A75,$D$324:$E$628,2,FALSE)</f>
        <v>CITY OF T OR C</v>
      </c>
      <c r="C75" s="136">
        <f t="shared" si="3"/>
        <v>89710</v>
      </c>
      <c r="D75" s="138">
        <f t="shared" si="4"/>
        <v>6.615128540147315E-4</v>
      </c>
      <c r="E75" s="158"/>
      <c r="F75" s="150">
        <f>VLOOKUP(A75,'OPEB Amounts_Report'!$A$10:$A$319,1,FALSE)</f>
        <v>2760</v>
      </c>
      <c r="G75" s="5">
        <f>VLOOKUP(A75,'Change in Proportion Calc'!$A$5:$A$311,1,FALSE)</f>
        <v>2760</v>
      </c>
      <c r="H75" s="87"/>
    </row>
    <row r="76" spans="1:8">
      <c r="A76" s="10">
        <v>2780</v>
      </c>
      <c r="B76" s="11" t="str">
        <f t="shared" si="5"/>
        <v>CITY OF TEXICO</v>
      </c>
      <c r="C76" s="135">
        <f t="shared" si="3"/>
        <v>10038</v>
      </c>
      <c r="D76" s="137">
        <f t="shared" si="4"/>
        <v>7.4019240091404247E-5</v>
      </c>
      <c r="E76" s="158"/>
      <c r="F76" s="150">
        <f>VLOOKUP(A76,'OPEB Amounts_Report'!$A$10:$A$319,1,FALSE)</f>
        <v>2780</v>
      </c>
      <c r="G76" s="5">
        <f>VLOOKUP(A76,'Change in Proportion Calc'!$A$5:$A$311,1,FALSE)</f>
        <v>2780</v>
      </c>
      <c r="H76" s="87"/>
    </row>
    <row r="77" spans="1:8">
      <c r="A77" s="12">
        <v>2810</v>
      </c>
      <c r="B77" s="13" t="str">
        <f t="shared" si="5"/>
        <v>CITY OF TUCUMCARI</v>
      </c>
      <c r="C77" s="136">
        <f t="shared" si="3"/>
        <v>68229</v>
      </c>
      <c r="D77" s="138">
        <f t="shared" si="4"/>
        <v>5.0311403986814311E-4</v>
      </c>
      <c r="E77" s="158"/>
      <c r="F77" s="150">
        <f>VLOOKUP(A77,'OPEB Amounts_Report'!$A$10:$A$319,1,FALSE)</f>
        <v>2810</v>
      </c>
      <c r="G77" s="5">
        <f>VLOOKUP(A77,'Change in Proportion Calc'!$A$5:$A$311,1,FALSE)</f>
        <v>2810</v>
      </c>
      <c r="H77" s="87"/>
    </row>
    <row r="78" spans="1:8">
      <c r="A78" s="10">
        <v>18056</v>
      </c>
      <c r="B78" s="11" t="str">
        <f t="shared" si="5"/>
        <v>CLAYTON MUNICIPAL SCHOOLS</v>
      </c>
      <c r="C78" s="135">
        <f t="shared" si="3"/>
        <v>91303</v>
      </c>
      <c r="D78" s="137">
        <f t="shared" si="4"/>
        <v>6.7325948177580019E-4</v>
      </c>
      <c r="E78" s="158"/>
      <c r="F78" s="150">
        <f>VLOOKUP(A78,'OPEB Amounts_Report'!$A$10:$A$319,1,FALSE)</f>
        <v>18056</v>
      </c>
      <c r="G78" s="5">
        <f>VLOOKUP(A78,'Change in Proportion Calc'!$A$5:$A$311,1,FALSE)</f>
        <v>18056</v>
      </c>
      <c r="H78" s="87"/>
    </row>
    <row r="79" spans="1:8">
      <c r="A79" s="12">
        <v>15047</v>
      </c>
      <c r="B79" s="13" t="str">
        <f t="shared" si="5"/>
        <v>CLOUDCROFT MUNICIPAL  SCHOOL DISTRICT</v>
      </c>
      <c r="C79" s="136">
        <f t="shared" si="3"/>
        <v>84182</v>
      </c>
      <c r="D79" s="138">
        <f t="shared" si="4"/>
        <v>6.2074991725190201E-4</v>
      </c>
      <c r="E79" s="158"/>
      <c r="F79" s="150">
        <f>VLOOKUP(A79,'OPEB Amounts_Report'!$A$10:$A$319,1,FALSE)</f>
        <v>15047</v>
      </c>
      <c r="G79" s="5">
        <f>VLOOKUP(A79,'Change in Proportion Calc'!$A$5:$A$311,1,FALSE)</f>
        <v>15047</v>
      </c>
      <c r="H79" s="87"/>
    </row>
    <row r="80" spans="1:8">
      <c r="A80" s="10">
        <v>5012</v>
      </c>
      <c r="B80" s="11" t="str">
        <f t="shared" si="5"/>
        <v>CLOVIS MUNICIPAL SCHOOLS</v>
      </c>
      <c r="C80" s="135">
        <f t="shared" si="3"/>
        <v>1350550</v>
      </c>
      <c r="D80" s="137">
        <f t="shared" si="4"/>
        <v>9.9588249357886044E-3</v>
      </c>
      <c r="E80" s="158"/>
      <c r="F80" s="150">
        <f>VLOOKUP(A80,'OPEB Amounts_Report'!$A$10:$A$319,1,FALSE)</f>
        <v>5012</v>
      </c>
      <c r="G80" s="5">
        <f>VLOOKUP(A80,'Change in Proportion Calc'!$A$5:$A$311,1,FALSE)</f>
        <v>5012</v>
      </c>
      <c r="H80" s="87"/>
    </row>
    <row r="81" spans="1:8">
      <c r="A81" s="12">
        <v>8024</v>
      </c>
      <c r="B81" s="13" t="str">
        <f t="shared" si="5"/>
        <v>COBRE CONSOLIDATED SCHOOLS</v>
      </c>
      <c r="C81" s="136">
        <f t="shared" si="3"/>
        <v>218860</v>
      </c>
      <c r="D81" s="138">
        <f t="shared" si="4"/>
        <v>1.6138524493330079E-3</v>
      </c>
      <c r="E81" s="158"/>
      <c r="F81" s="150">
        <f>VLOOKUP(A81,'OPEB Amounts_Report'!$A$10:$A$319,1,FALSE)</f>
        <v>8024</v>
      </c>
      <c r="G81" s="5">
        <f>VLOOKUP(A81,'Change in Proportion Calc'!$A$5:$A$311,1,FALSE)</f>
        <v>8024</v>
      </c>
      <c r="H81" s="87"/>
    </row>
    <row r="82" spans="1:8">
      <c r="A82" s="10">
        <v>3050</v>
      </c>
      <c r="B82" s="11" t="str">
        <f t="shared" si="5"/>
        <v>COLFAX COUNTY</v>
      </c>
      <c r="C82" s="135">
        <f t="shared" si="3"/>
        <v>89584</v>
      </c>
      <c r="D82" s="137">
        <f t="shared" si="4"/>
        <v>6.6058374221442107E-4</v>
      </c>
      <c r="E82" s="158"/>
      <c r="F82" s="150">
        <f>VLOOKUP(A82,'OPEB Amounts_Report'!$A$10:$A$319,1,FALSE)</f>
        <v>3050</v>
      </c>
      <c r="G82" s="5">
        <f>VLOOKUP(A82,'Change in Proportion Calc'!$A$5:$A$311,1,FALSE)</f>
        <v>3050</v>
      </c>
      <c r="H82" s="87"/>
    </row>
    <row r="83" spans="1:8">
      <c r="A83" s="12">
        <v>2421</v>
      </c>
      <c r="B83" s="13" t="str">
        <f t="shared" si="5"/>
        <v>CORAL COMMUNITY CHARTER SCHOOL</v>
      </c>
      <c r="C83" s="136">
        <f t="shared" si="3"/>
        <v>35272</v>
      </c>
      <c r="D83" s="138">
        <f t="shared" si="4"/>
        <v>2.6009231286152728E-4</v>
      </c>
      <c r="E83" s="158"/>
      <c r="F83" s="150">
        <f>VLOOKUP(A83,'OPEB Amounts_Report'!$A$10:$A$319,1,FALSE)</f>
        <v>2421</v>
      </c>
      <c r="G83" s="5">
        <f>VLOOKUP(A83,'Change in Proportion Calc'!$A$5:$A$311,1,FALSE)</f>
        <v>2421</v>
      </c>
      <c r="H83" s="87"/>
    </row>
    <row r="84" spans="1:8">
      <c r="A84" s="10">
        <v>26079</v>
      </c>
      <c r="B84" s="11" t="str">
        <f t="shared" si="5"/>
        <v>CORONA PUBLIC SCHOOLS</v>
      </c>
      <c r="C84" s="135">
        <f t="shared" si="3"/>
        <v>35339</v>
      </c>
      <c r="D84" s="137">
        <f t="shared" si="4"/>
        <v>2.6058636437439078E-4</v>
      </c>
      <c r="E84" s="158"/>
      <c r="F84" s="150">
        <f>VLOOKUP(A84,'OPEB Amounts_Report'!$A$10:$A$319,1,FALSE)</f>
        <v>26079</v>
      </c>
      <c r="G84" s="5">
        <f>VLOOKUP(A84,'Change in Proportion Calc'!$A$5:$A$311,1,FALSE)</f>
        <v>26079</v>
      </c>
      <c r="H84" s="87"/>
    </row>
    <row r="85" spans="1:8">
      <c r="A85" s="12">
        <v>2363</v>
      </c>
      <c r="B85" s="13" t="str">
        <f t="shared" si="5"/>
        <v>CORRALES INTERNATIONAL SCHOOL</v>
      </c>
      <c r="C85" s="136">
        <f t="shared" si="3"/>
        <v>38320</v>
      </c>
      <c r="D85" s="138">
        <f t="shared" si="4"/>
        <v>2.8256796974522922E-4</v>
      </c>
      <c r="E85" s="158"/>
      <c r="F85" s="150">
        <f>VLOOKUP(A85,'OPEB Amounts_Report'!$A$10:$A$319,1,FALSE)</f>
        <v>2363</v>
      </c>
      <c r="G85" s="5">
        <f>VLOOKUP(A85,'Change in Proportion Calc'!$A$5:$A$311,1,FALSE)</f>
        <v>2363</v>
      </c>
      <c r="H85" s="87"/>
    </row>
    <row r="86" spans="1:8">
      <c r="A86" s="10">
        <v>2364</v>
      </c>
      <c r="B86" s="11" t="str">
        <f t="shared" si="5"/>
        <v xml:space="preserve">COTTONWOOD CLASSICAL PREPARATORY SCHOOL </v>
      </c>
      <c r="C86" s="135">
        <f t="shared" si="3"/>
        <v>133101</v>
      </c>
      <c r="D86" s="137">
        <f t="shared" si="4"/>
        <v>9.8147388677087034E-4</v>
      </c>
      <c r="E86" s="158"/>
      <c r="F86" s="150">
        <f>VLOOKUP(A86,'OPEB Amounts_Report'!$A$10:$A$319,1,FALSE)</f>
        <v>2364</v>
      </c>
      <c r="G86" s="5">
        <f>VLOOKUP(A86,'Change in Proportion Calc'!$A$5:$A$311,1,FALSE)</f>
        <v>2364</v>
      </c>
      <c r="H86" s="87"/>
    </row>
    <row r="87" spans="1:8">
      <c r="A87" s="12">
        <v>25319</v>
      </c>
      <c r="B87" s="13" t="str">
        <f t="shared" si="5"/>
        <v>COTTONWOOD VALLEY CHARTER SCHOOL</v>
      </c>
      <c r="C87" s="136">
        <f t="shared" si="3"/>
        <v>30771</v>
      </c>
      <c r="D87" s="138">
        <f t="shared" si="4"/>
        <v>2.2690237466154614E-4</v>
      </c>
      <c r="E87" s="158"/>
      <c r="F87" s="150">
        <f>VLOOKUP(A87,'OPEB Amounts_Report'!$A$10:$A$319,1,FALSE)</f>
        <v>25319</v>
      </c>
      <c r="G87" s="5">
        <f>VLOOKUP(A87,'Change in Proportion Calc'!$A$5:$A$311,1,FALSE)</f>
        <v>25319</v>
      </c>
      <c r="H87" s="87"/>
    </row>
    <row r="88" spans="1:8">
      <c r="A88" s="10">
        <v>29087</v>
      </c>
      <c r="B88" s="11" t="str">
        <f t="shared" si="5"/>
        <v>CUBA INDEPENDENT SCHOOLS</v>
      </c>
      <c r="C88" s="135">
        <f t="shared" si="3"/>
        <v>261247</v>
      </c>
      <c r="D88" s="137">
        <f t="shared" si="4"/>
        <v>1.926410083299371E-3</v>
      </c>
      <c r="E88" s="158"/>
      <c r="F88" s="150">
        <f>VLOOKUP(A88,'OPEB Amounts_Report'!$A$10:$A$319,1,FALSE)</f>
        <v>29087</v>
      </c>
      <c r="G88" s="5">
        <f>VLOOKUP(A88,'Change in Proportion Calc'!$A$5:$A$311,1,FALSE)</f>
        <v>29087</v>
      </c>
      <c r="H88" s="87"/>
    </row>
    <row r="89" spans="1:8">
      <c r="A89" s="12">
        <v>3060</v>
      </c>
      <c r="B89" s="13" t="str">
        <f t="shared" si="5"/>
        <v>CURRY COUNTY</v>
      </c>
      <c r="C89" s="136">
        <f t="shared" si="3"/>
        <v>149877</v>
      </c>
      <c r="D89" s="138">
        <f t="shared" si="4"/>
        <v>1.105178486469356E-3</v>
      </c>
      <c r="E89" s="158"/>
      <c r="F89" s="150">
        <f>VLOOKUP(A89,'OPEB Amounts_Report'!$A$10:$A$319,1,FALSE)</f>
        <v>3060</v>
      </c>
      <c r="G89" s="5">
        <f>VLOOKUP(A89,'Change in Proportion Calc'!$A$5:$A$311,1,FALSE)</f>
        <v>3060</v>
      </c>
      <c r="H89" s="87"/>
    </row>
    <row r="90" spans="1:8">
      <c r="A90" s="10">
        <v>19301</v>
      </c>
      <c r="B90" s="11" t="str">
        <f t="shared" si="5"/>
        <v>DEMING CESAR CHAVEZ CHARTER HIGH SCHOOL</v>
      </c>
      <c r="C90" s="135">
        <f t="shared" si="3"/>
        <v>27046</v>
      </c>
      <c r="D90" s="137">
        <f t="shared" si="4"/>
        <v>1.9943458532696944E-4</v>
      </c>
      <c r="E90" s="158"/>
      <c r="F90" s="150">
        <f>VLOOKUP(A90,'OPEB Amounts_Report'!$A$10:$A$319,1,FALSE)</f>
        <v>19301</v>
      </c>
      <c r="G90" s="5">
        <f>VLOOKUP(A90,'Change in Proportion Calc'!$A$5:$A$311,1,FALSE)</f>
        <v>19301</v>
      </c>
      <c r="H90" s="87"/>
    </row>
    <row r="91" spans="1:8">
      <c r="A91" s="12">
        <v>19059</v>
      </c>
      <c r="B91" s="13" t="str">
        <f t="shared" si="5"/>
        <v>DEMING PUBLIC SCHOOLS</v>
      </c>
      <c r="C91" s="136">
        <f t="shared" si="3"/>
        <v>932289</v>
      </c>
      <c r="D91" s="138">
        <f t="shared" si="4"/>
        <v>6.8746088190451459E-3</v>
      </c>
      <c r="E91" s="158"/>
      <c r="F91" s="150">
        <f>VLOOKUP(A91,'OPEB Amounts_Report'!$A$10:$A$319,1,FALSE)</f>
        <v>19059</v>
      </c>
      <c r="G91" s="5">
        <f>VLOOKUP(A91,'Change in Proportion Calc'!$A$5:$A$311,1,FALSE)</f>
        <v>19059</v>
      </c>
      <c r="H91" s="87"/>
    </row>
    <row r="92" spans="1:8">
      <c r="A92" s="10">
        <v>18057</v>
      </c>
      <c r="B92" s="11" t="str">
        <f t="shared" si="5"/>
        <v>DES MOINES MUNICIPAL SCHOOLS</v>
      </c>
      <c r="C92" s="135">
        <f t="shared" si="3"/>
        <v>39995</v>
      </c>
      <c r="D92" s="137">
        <f t="shared" si="4"/>
        <v>2.9491925756681736E-4</v>
      </c>
      <c r="E92" s="158"/>
      <c r="F92" s="150">
        <f>VLOOKUP(A92,'OPEB Amounts_Report'!$A$10:$A$319,1,FALSE)</f>
        <v>18057</v>
      </c>
      <c r="G92" s="5">
        <f>VLOOKUP(A92,'Change in Proportion Calc'!$A$5:$A$311,1,FALSE)</f>
        <v>18057</v>
      </c>
      <c r="H92" s="87"/>
    </row>
    <row r="93" spans="1:8">
      <c r="A93" s="12">
        <v>4008</v>
      </c>
      <c r="B93" s="13" t="str">
        <f t="shared" si="5"/>
        <v>DEXTER CONSOLIDATED SCHOOLS</v>
      </c>
      <c r="C93" s="136">
        <f t="shared" si="3"/>
        <v>153984</v>
      </c>
      <c r="D93" s="138">
        <f t="shared" si="4"/>
        <v>1.1354631068175723E-3</v>
      </c>
      <c r="E93" s="158"/>
      <c r="F93" s="150">
        <f>VLOOKUP(A93,'OPEB Amounts_Report'!$A$10:$A$319,1,FALSE)</f>
        <v>4008</v>
      </c>
      <c r="G93" s="5">
        <f>VLOOKUP(A93,'Change in Proportion Calc'!$A$5:$A$311,1,FALSE)</f>
        <v>4008</v>
      </c>
      <c r="H93" s="87"/>
    </row>
    <row r="94" spans="1:8">
      <c r="A94" s="10">
        <v>2350</v>
      </c>
      <c r="B94" s="11" t="str">
        <f t="shared" si="5"/>
        <v>DIGITAL ARTS &amp; TECHNOLOGY ACADEMY</v>
      </c>
      <c r="C94" s="135">
        <f t="shared" si="3"/>
        <v>45379</v>
      </c>
      <c r="D94" s="137">
        <f t="shared" si="4"/>
        <v>3.3462035227214916E-4</v>
      </c>
      <c r="E94" s="158"/>
      <c r="F94" s="150">
        <f>VLOOKUP(A94,'OPEB Amounts_Report'!$A$10:$A$319,1,FALSE)</f>
        <v>2350</v>
      </c>
      <c r="G94" s="5">
        <f>VLOOKUP(A94,'Change in Proportion Calc'!$A$5:$A$311,1,FALSE)</f>
        <v>2350</v>
      </c>
      <c r="H94" s="87"/>
    </row>
    <row r="95" spans="1:8">
      <c r="A95" s="12">
        <v>11117</v>
      </c>
      <c r="B95" s="13" t="str">
        <f t="shared" si="5"/>
        <v>DORA CONSOLIDATED SCHOOLS</v>
      </c>
      <c r="C95" s="136">
        <f t="shared" si="3"/>
        <v>53224</v>
      </c>
      <c r="D95" s="138">
        <f t="shared" si="4"/>
        <v>3.9246862269624427E-4</v>
      </c>
      <c r="E95" s="158"/>
      <c r="F95" s="150">
        <f>VLOOKUP(A95,'OPEB Amounts_Report'!$A$10:$A$319,1,FALSE)</f>
        <v>11117</v>
      </c>
      <c r="G95" s="5">
        <f>VLOOKUP(A95,'Change in Proportion Calc'!$A$5:$A$311,1,FALSE)</f>
        <v>11117</v>
      </c>
      <c r="H95" s="87"/>
    </row>
    <row r="96" spans="1:8">
      <c r="A96" s="10">
        <v>16359</v>
      </c>
      <c r="B96" s="11" t="str">
        <f t="shared" si="5"/>
        <v>DREAM DINE' CHARTER SCHOOL</v>
      </c>
      <c r="C96" s="135">
        <f t="shared" si="3"/>
        <v>10229</v>
      </c>
      <c r="D96" s="137">
        <f t="shared" si="4"/>
        <v>7.5427655598224154E-5</v>
      </c>
      <c r="E96" s="158"/>
      <c r="F96" s="150">
        <f>VLOOKUP(A96,'OPEB Amounts_Report'!$A$10:$A$319,1,FALSE)</f>
        <v>16359</v>
      </c>
      <c r="G96" s="5">
        <f>VLOOKUP(A96,'Change in Proportion Calc'!$A$5:$A$311,1,FALSE)</f>
        <v>16359</v>
      </c>
      <c r="H96" s="87"/>
    </row>
    <row r="97" spans="1:8">
      <c r="A97" s="12">
        <v>17115</v>
      </c>
      <c r="B97" s="13" t="str">
        <f t="shared" si="5"/>
        <v>DULCE INDEPENDENT SCHOOLS</v>
      </c>
      <c r="C97" s="136">
        <f t="shared" si="3"/>
        <v>196256</v>
      </c>
      <c r="D97" s="138">
        <f t="shared" si="4"/>
        <v>1.4471727419185726E-3</v>
      </c>
      <c r="E97" s="158"/>
      <c r="F97" s="150">
        <f>VLOOKUP(A97,'OPEB Amounts_Report'!$A$10:$A$319,1,FALSE)</f>
        <v>17115</v>
      </c>
      <c r="G97" s="5">
        <f>VLOOKUP(A97,'Change in Proportion Calc'!$A$5:$A$311,1,FALSE)</f>
        <v>17115</v>
      </c>
      <c r="H97" s="87"/>
    </row>
    <row r="98" spans="1:8">
      <c r="A98" s="10">
        <v>13437</v>
      </c>
      <c r="B98" s="11" t="str">
        <f t="shared" si="5"/>
        <v>DZIL DIT L'OOI SCHOOL OF EMPOWERMENT</v>
      </c>
      <c r="C98" s="135">
        <f t="shared" si="3"/>
        <v>18657</v>
      </c>
      <c r="D98" s="137">
        <f t="shared" si="4"/>
        <v>1.3757491157454963E-4</v>
      </c>
      <c r="E98" s="158"/>
      <c r="F98" s="150">
        <f>VLOOKUP(A98,'OPEB Amounts_Report'!$A$10:$A$319,1,FALSE)</f>
        <v>13437</v>
      </c>
      <c r="G98" s="5">
        <f>VLOOKUP(A98,'Change in Proportion Calc'!$A$5:$A$311,1,FALSE)</f>
        <v>13437</v>
      </c>
      <c r="H98" s="87"/>
    </row>
    <row r="99" spans="1:8">
      <c r="A99" s="12">
        <v>2304</v>
      </c>
      <c r="B99" s="13" t="str">
        <f t="shared" si="5"/>
        <v>EAST MOUNTAIN HIGH SCHOOL</v>
      </c>
      <c r="C99" s="136">
        <f t="shared" si="3"/>
        <v>70460</v>
      </c>
      <c r="D99" s="138">
        <f t="shared" si="4"/>
        <v>5.1956521785618084E-4</v>
      </c>
      <c r="E99" s="158"/>
      <c r="F99" s="150">
        <f>VLOOKUP(A99,'OPEB Amounts_Report'!$A$10:$A$319,1,FALSE)</f>
        <v>2304</v>
      </c>
      <c r="G99" s="5">
        <f>VLOOKUP(A99,'Change in Proportion Calc'!$A$5:$A$311,1,FALSE)</f>
        <v>2304</v>
      </c>
      <c r="H99" s="87"/>
    </row>
    <row r="100" spans="1:8">
      <c r="A100" s="10">
        <v>11101</v>
      </c>
      <c r="B100" s="11" t="str">
        <f t="shared" si="5"/>
        <v>EASTERN NEW MEXICO UNIVERSITY AT PORTALES</v>
      </c>
      <c r="C100" s="135">
        <f t="shared" si="3"/>
        <v>800909</v>
      </c>
      <c r="D100" s="137">
        <f t="shared" si="4"/>
        <v>5.9058254196420086E-3</v>
      </c>
      <c r="E100" s="158"/>
      <c r="F100" s="150">
        <f>VLOOKUP(A100,'OPEB Amounts_Report'!$A$10:$A$319,1,FALSE)</f>
        <v>11101</v>
      </c>
      <c r="G100" s="5">
        <f>VLOOKUP(A100,'Change in Proportion Calc'!$A$5:$A$311,1,FALSE)</f>
        <v>11101</v>
      </c>
      <c r="H100" s="87"/>
    </row>
    <row r="101" spans="1:8">
      <c r="A101" s="12">
        <v>11102</v>
      </c>
      <c r="B101" s="13" t="str">
        <f t="shared" si="5"/>
        <v>EASTERN NEW MEXICO UNIVERSITY AT ROSWELL</v>
      </c>
      <c r="C101" s="136">
        <f t="shared" si="3"/>
        <v>259589</v>
      </c>
      <c r="D101" s="138">
        <f t="shared" si="4"/>
        <v>1.914184151831793E-3</v>
      </c>
      <c r="E101" s="158"/>
      <c r="F101" s="150">
        <f>VLOOKUP(A101,'OPEB Amounts_Report'!$A$10:$A$319,1,FALSE)</f>
        <v>11102</v>
      </c>
      <c r="G101" s="5">
        <f>VLOOKUP(A101,'Change in Proportion Calc'!$A$5:$A$311,1,FALSE)</f>
        <v>11102</v>
      </c>
      <c r="H101" s="87"/>
    </row>
    <row r="102" spans="1:8">
      <c r="A102" s="10">
        <v>3100</v>
      </c>
      <c r="B102" s="11" t="str">
        <f t="shared" si="5"/>
        <v>EDDY COUNTY</v>
      </c>
      <c r="C102" s="135">
        <f t="shared" si="3"/>
        <v>544398</v>
      </c>
      <c r="D102" s="137">
        <f t="shared" si="4"/>
        <v>4.0143381417892298E-3</v>
      </c>
      <c r="E102" s="158"/>
      <c r="F102" s="150">
        <f>VLOOKUP(A102,'OPEB Amounts_Report'!$A$10:$A$319,1,FALSE)</f>
        <v>3100</v>
      </c>
      <c r="G102" s="5">
        <f>VLOOKUP(A102,'Change in Proportion Calc'!$A$5:$A$311,1,FALSE)</f>
        <v>3100</v>
      </c>
      <c r="H102" s="87"/>
    </row>
    <row r="103" spans="1:8">
      <c r="A103" s="12">
        <v>2323</v>
      </c>
      <c r="B103" s="13" t="str">
        <f t="shared" si="5"/>
        <v>EL CAMINO REAL ACADEMY</v>
      </c>
      <c r="C103" s="136">
        <f t="shared" si="3"/>
        <v>51877</v>
      </c>
      <c r="D103" s="138">
        <f t="shared" si="4"/>
        <v>3.8253597511673425E-4</v>
      </c>
      <c r="E103" s="158"/>
      <c r="F103" s="150">
        <f>VLOOKUP(A103,'OPEB Amounts_Report'!$A$10:$A$319,1,FALSE)</f>
        <v>2323</v>
      </c>
      <c r="G103" s="5">
        <f>VLOOKUP(A103,'Change in Proportion Calc'!$A$5:$A$311,1,FALSE)</f>
        <v>2323</v>
      </c>
      <c r="H103" s="87"/>
    </row>
    <row r="104" spans="1:8">
      <c r="A104" s="10">
        <v>11034</v>
      </c>
      <c r="B104" s="11" t="str">
        <f t="shared" si="5"/>
        <v>ELIDA MUNICIPAL SCHOOLS</v>
      </c>
      <c r="C104" s="135">
        <f t="shared" si="3"/>
        <v>45081</v>
      </c>
      <c r="D104" s="137">
        <f t="shared" si="4"/>
        <v>3.3242292912538305E-4</v>
      </c>
      <c r="E104" s="158"/>
      <c r="F104" s="150">
        <f>VLOOKUP(A104,'OPEB Amounts_Report'!$A$10:$A$319,1,FALSE)</f>
        <v>11034</v>
      </c>
      <c r="G104" s="5">
        <f>VLOOKUP(A104,'Change in Proportion Calc'!$A$5:$A$311,1,FALSE)</f>
        <v>11034</v>
      </c>
      <c r="H104" s="87"/>
    </row>
    <row r="105" spans="1:8">
      <c r="A105" s="12">
        <v>588001</v>
      </c>
      <c r="B105" s="13" t="str">
        <f t="shared" si="5"/>
        <v>EQUIP ACADEMY OF NEW MEXICO</v>
      </c>
      <c r="C105" s="136">
        <f t="shared" si="3"/>
        <v>1564</v>
      </c>
      <c r="D105" s="138">
        <f t="shared" si="4"/>
        <v>1.1532784568933676E-5</v>
      </c>
      <c r="E105" s="158"/>
      <c r="F105" s="150">
        <f>VLOOKUP(A105,'OPEB Amounts_Report'!$A$10:$A$319,1,FALSE)</f>
        <v>588001</v>
      </c>
      <c r="G105" s="5">
        <f>VLOOKUP(A105,'Change in Proportion Calc'!$A$5:$A$311,1,FALSE)</f>
        <v>588001</v>
      </c>
      <c r="H105" s="87"/>
    </row>
    <row r="106" spans="1:8">
      <c r="A106" s="10">
        <v>17054</v>
      </c>
      <c r="B106" s="11" t="str">
        <f t="shared" si="5"/>
        <v>ESPANOLA PUBLIC SCHOOLS</v>
      </c>
      <c r="C106" s="135">
        <f t="shared" si="3"/>
        <v>572500</v>
      </c>
      <c r="D106" s="137">
        <f t="shared" si="4"/>
        <v>4.2215595688711825E-3</v>
      </c>
      <c r="E106" s="158"/>
      <c r="F106" s="150">
        <f>VLOOKUP(A106,'OPEB Amounts_Report'!$A$10:$A$319,1,FALSE)</f>
        <v>17054</v>
      </c>
      <c r="G106" s="5">
        <f>VLOOKUP(A106,'Change in Proportion Calc'!$A$5:$A$311,1,FALSE)</f>
        <v>17054</v>
      </c>
      <c r="H106" s="87"/>
    </row>
    <row r="107" spans="1:8">
      <c r="A107" s="12">
        <v>22065</v>
      </c>
      <c r="B107" s="13" t="str">
        <f t="shared" si="5"/>
        <v>ESTANCIA MUNICIPAL SCHOOLS</v>
      </c>
      <c r="C107" s="136">
        <f t="shared" si="3"/>
        <v>147929</v>
      </c>
      <c r="D107" s="138">
        <f t="shared" si="4"/>
        <v>1.0908141230804283E-3</v>
      </c>
      <c r="E107" s="158"/>
      <c r="F107" s="150">
        <f>VLOOKUP(A107,'OPEB Amounts_Report'!$A$10:$A$319,1,FALSE)</f>
        <v>22065</v>
      </c>
      <c r="G107" s="5">
        <f>VLOOKUP(A107,'Change in Proportion Calc'!$A$5:$A$311,1,FALSE)</f>
        <v>22065</v>
      </c>
      <c r="H107" s="87"/>
    </row>
    <row r="108" spans="1:8">
      <c r="A108" s="10">
        <v>22201</v>
      </c>
      <c r="B108" s="11" t="str">
        <f t="shared" si="5"/>
        <v>ESTANCIA VALLEY CLASSICAL CHARTER SCHOOL</v>
      </c>
      <c r="C108" s="135">
        <f t="shared" si="3"/>
        <v>80173</v>
      </c>
      <c r="D108" s="137">
        <f t="shared" si="4"/>
        <v>5.9118793941503813E-4</v>
      </c>
      <c r="E108" s="158"/>
      <c r="F108" s="150">
        <f>VLOOKUP(A108,'OPEB Amounts_Report'!$A$10:$A$319,1,FALSE)</f>
        <v>22201</v>
      </c>
      <c r="G108" s="5">
        <f>VLOOKUP(A108,'Change in Proportion Calc'!$A$5:$A$311,1,FALSE)</f>
        <v>22201</v>
      </c>
      <c r="H108" s="87"/>
    </row>
    <row r="109" spans="1:8">
      <c r="A109" s="12">
        <v>6016</v>
      </c>
      <c r="B109" s="13" t="str">
        <f t="shared" si="5"/>
        <v>EUNICE PUBLIC SCHOOLS</v>
      </c>
      <c r="C109" s="136">
        <f t="shared" si="3"/>
        <v>147769</v>
      </c>
      <c r="D109" s="138">
        <f t="shared" si="4"/>
        <v>1.0896342985720975E-3</v>
      </c>
      <c r="E109" s="158"/>
      <c r="F109" s="150">
        <f>VLOOKUP(A109,'OPEB Amounts_Report'!$A$10:$A$319,1,FALSE)</f>
        <v>6016</v>
      </c>
      <c r="G109" s="5">
        <f>VLOOKUP(A109,'Change in Proportion Calc'!$A$5:$A$311,1,FALSE)</f>
        <v>6016</v>
      </c>
      <c r="H109" s="87"/>
    </row>
    <row r="110" spans="1:8">
      <c r="A110" s="10">
        <v>7440</v>
      </c>
      <c r="B110" s="11" t="str">
        <f t="shared" si="5"/>
        <v>EXPLORE LAS CRUCES</v>
      </c>
      <c r="C110" s="135">
        <f t="shared" si="3"/>
        <v>79933</v>
      </c>
      <c r="D110" s="137">
        <f t="shared" si="4"/>
        <v>5.8941820265254196E-4</v>
      </c>
      <c r="E110" s="158"/>
      <c r="F110" s="150">
        <f>VLOOKUP(A110,'OPEB Amounts_Report'!$A$10:$A$319,1,FALSE)</f>
        <v>7440</v>
      </c>
      <c r="G110" s="5">
        <f>VLOOKUP(A110,'Change in Proportion Calc'!$A$5:$A$311,1,FALSE)</f>
        <v>7440</v>
      </c>
      <c r="H110" s="87"/>
    </row>
    <row r="111" spans="1:8">
      <c r="A111" s="12">
        <v>2432</v>
      </c>
      <c r="B111" s="13" t="str">
        <f t="shared" si="5"/>
        <v>EXPLORE ACADEMY</v>
      </c>
      <c r="C111" s="136">
        <f t="shared" si="3"/>
        <v>247220</v>
      </c>
      <c r="D111" s="138">
        <f t="shared" si="4"/>
        <v>1.8229763434346442E-3</v>
      </c>
      <c r="E111" s="158"/>
      <c r="F111" s="150">
        <f>VLOOKUP(A111,'OPEB Amounts_Report'!$A$10:$A$319,1,FALSE)</f>
        <v>2432</v>
      </c>
      <c r="G111" s="5">
        <f>VLOOKUP(A111,'Change in Proportion Calc'!$A$5:$A$311,1,FALSE)</f>
        <v>2432</v>
      </c>
      <c r="H111" s="87"/>
    </row>
    <row r="112" spans="1:8">
      <c r="A112" s="10">
        <v>29125</v>
      </c>
      <c r="B112" s="11" t="str">
        <f t="shared" si="5"/>
        <v>EXPLORE ACADEMY RIO RANCHO</v>
      </c>
      <c r="C112" s="135">
        <f t="shared" si="3"/>
        <v>51548</v>
      </c>
      <c r="D112" s="137">
        <f t="shared" si="4"/>
        <v>3.8010996097147899E-4</v>
      </c>
      <c r="E112" s="158"/>
      <c r="F112" s="150">
        <f>VLOOKUP(A112,'OPEB Amounts_Report'!$A$10:$A$319,1,FALSE)</f>
        <v>29125</v>
      </c>
      <c r="G112" s="5">
        <f>VLOOKUP(A112,'Change in Proportion Calc'!$A$5:$A$311,1,FALSE)</f>
        <v>29125</v>
      </c>
      <c r="H112" s="87"/>
    </row>
    <row r="113" spans="1:8">
      <c r="A113" s="12">
        <v>16052</v>
      </c>
      <c r="B113" s="13" t="str">
        <f t="shared" si="5"/>
        <v>FARMINGTON MUNICIPAL SCHOOLS</v>
      </c>
      <c r="C113" s="136">
        <f t="shared" si="3"/>
        <v>1702948</v>
      </c>
      <c r="D113" s="138">
        <f t="shared" si="4"/>
        <v>1.2557373667580861E-2</v>
      </c>
      <c r="E113" s="158"/>
      <c r="F113" s="150">
        <f>VLOOKUP(A113,'OPEB Amounts_Report'!$A$10:$A$319,1,FALSE)</f>
        <v>16052</v>
      </c>
      <c r="G113" s="5">
        <f>VLOOKUP(A113,'Change in Proportion Calc'!$A$5:$A$311,1,FALSE)</f>
        <v>16052</v>
      </c>
      <c r="H113" s="87"/>
    </row>
    <row r="114" spans="1:8">
      <c r="A114" s="10">
        <v>11118</v>
      </c>
      <c r="B114" s="11" t="str">
        <f t="shared" si="5"/>
        <v>FLOYD MUNICIPAL SCHOOLS</v>
      </c>
      <c r="C114" s="135">
        <f t="shared" si="3"/>
        <v>46107</v>
      </c>
      <c r="D114" s="137">
        <f t="shared" si="4"/>
        <v>3.3998855378505438E-4</v>
      </c>
      <c r="E114" s="158"/>
      <c r="F114" s="150">
        <f>VLOOKUP(A114,'OPEB Amounts_Report'!$A$10:$A$319,1,FALSE)</f>
        <v>11118</v>
      </c>
      <c r="G114" s="5">
        <f>VLOOKUP(A114,'Change in Proportion Calc'!$A$5:$A$311,1,FALSE)</f>
        <v>11118</v>
      </c>
      <c r="H114" s="87"/>
    </row>
    <row r="115" spans="1:8">
      <c r="A115" s="12">
        <v>27083</v>
      </c>
      <c r="B115" s="13" t="str">
        <f t="shared" si="5"/>
        <v>FT SUMNER MUNICIPAL SCHOOLS</v>
      </c>
      <c r="C115" s="136">
        <f t="shared" si="3"/>
        <v>74376</v>
      </c>
      <c r="D115" s="138">
        <f t="shared" si="4"/>
        <v>5.4844142269757745E-4</v>
      </c>
      <c r="E115" s="158"/>
      <c r="F115" s="150">
        <f>VLOOKUP(A115,'OPEB Amounts_Report'!$A$10:$A$319,1,FALSE)</f>
        <v>27083</v>
      </c>
      <c r="G115" s="5">
        <f>VLOOKUP(A115,'Change in Proportion Calc'!$A$5:$A$311,1,FALSE)</f>
        <v>27083</v>
      </c>
      <c r="H115" s="87"/>
    </row>
    <row r="116" spans="1:8">
      <c r="A116" s="10">
        <v>7021</v>
      </c>
      <c r="B116" s="11" t="str">
        <f t="shared" si="5"/>
        <v>GADSDEN INDEPENDENT SCHOOL DISTRICT</v>
      </c>
      <c r="C116" s="135">
        <f t="shared" si="3"/>
        <v>2418647</v>
      </c>
      <c r="D116" s="137">
        <f t="shared" si="4"/>
        <v>1.7834868797504941E-2</v>
      </c>
      <c r="E116" s="158"/>
      <c r="F116" s="150">
        <f>VLOOKUP(A116,'OPEB Amounts_Report'!$A$10:$A$319,1,FALSE)</f>
        <v>7021</v>
      </c>
      <c r="G116" s="5">
        <f>VLOOKUP(A116,'Change in Proportion Calc'!$A$5:$A$311,1,FALSE)</f>
        <v>7021</v>
      </c>
      <c r="H116" s="87"/>
    </row>
    <row r="117" spans="1:8">
      <c r="A117" s="12">
        <v>4140</v>
      </c>
      <c r="B117" s="13" t="str">
        <f t="shared" si="5"/>
        <v>GALLUP HOUSING AUTHORITY</v>
      </c>
      <c r="C117" s="136">
        <f t="shared" si="3"/>
        <v>15125</v>
      </c>
      <c r="D117" s="138">
        <f t="shared" si="4"/>
        <v>1.1153028555314696E-4</v>
      </c>
      <c r="E117" s="158"/>
      <c r="F117" s="150">
        <f>VLOOKUP(A117,'OPEB Amounts_Report'!$A$10:$A$319,1,FALSE)</f>
        <v>4140</v>
      </c>
      <c r="G117" s="5">
        <f>VLOOKUP(A117,'Change in Proportion Calc'!$A$5:$A$311,1,FALSE)</f>
        <v>4140</v>
      </c>
      <c r="H117" s="87"/>
    </row>
    <row r="118" spans="1:8">
      <c r="A118" s="10">
        <v>13041</v>
      </c>
      <c r="B118" s="11" t="str">
        <f t="shared" si="5"/>
        <v>GALLUP-MCKINLEY COUNTY SCHOOLS</v>
      </c>
      <c r="C118" s="135">
        <f t="shared" si="3"/>
        <v>2041586</v>
      </c>
      <c r="D118" s="137">
        <f t="shared" si="4"/>
        <v>1.5054457491656669E-2</v>
      </c>
      <c r="E118" s="158"/>
      <c r="F118" s="150">
        <f>VLOOKUP(A118,'OPEB Amounts_Report'!$A$10:$A$319,1,FALSE)</f>
        <v>13041</v>
      </c>
      <c r="G118" s="5">
        <f>VLOOKUP(A118,'Change in Proportion Calc'!$A$5:$A$311,1,FALSE)</f>
        <v>13041</v>
      </c>
      <c r="H118" s="87"/>
    </row>
    <row r="119" spans="1:8">
      <c r="A119" s="12">
        <v>2339</v>
      </c>
      <c r="B119" s="13" t="str">
        <f t="shared" si="5"/>
        <v>GILBERT L. SENA CHARTER HIGH SCHOOL</v>
      </c>
      <c r="C119" s="136">
        <f t="shared" si="3"/>
        <v>32617</v>
      </c>
      <c r="D119" s="138">
        <f t="shared" si="4"/>
        <v>2.4051459992641288E-4</v>
      </c>
      <c r="E119" s="158"/>
      <c r="F119" s="150">
        <f>VLOOKUP(A119,'OPEB Amounts_Report'!$A$10:$A$319,1,FALSE)</f>
        <v>2339</v>
      </c>
      <c r="G119" s="5">
        <f>VLOOKUP(A119,'Change in Proportion Calc'!$A$5:$A$311,1,FALSE)</f>
        <v>2339</v>
      </c>
      <c r="H119" s="87"/>
    </row>
    <row r="120" spans="1:8">
      <c r="A120" s="10">
        <v>2362</v>
      </c>
      <c r="B120" s="11" t="str">
        <f t="shared" si="5"/>
        <v>GORDON BERNELL CHARTER SCHOOL</v>
      </c>
      <c r="C120" s="135">
        <f t="shared" si="3"/>
        <v>41855</v>
      </c>
      <c r="D120" s="137">
        <f t="shared" si="4"/>
        <v>3.0863471747616308E-4</v>
      </c>
      <c r="E120" s="158"/>
      <c r="F120" s="150">
        <f>VLOOKUP(A120,'OPEB Amounts_Report'!$A$10:$A$319,1,FALSE)</f>
        <v>2362</v>
      </c>
      <c r="G120" s="5">
        <f>VLOOKUP(A120,'Change in Proportion Calc'!$A$5:$A$311,1,FALSE)</f>
        <v>2362</v>
      </c>
      <c r="H120" s="87"/>
    </row>
    <row r="121" spans="1:8">
      <c r="A121" s="12">
        <v>5013</v>
      </c>
      <c r="B121" s="43" t="str">
        <f t="shared" si="5"/>
        <v>GRADY MUNICIPAL SCHOOLS</v>
      </c>
      <c r="C121" s="156">
        <f t="shared" si="3"/>
        <v>36787</v>
      </c>
      <c r="D121" s="140">
        <f t="shared" si="4"/>
        <v>2.7126377617478465E-4</v>
      </c>
      <c r="E121" s="158"/>
      <c r="F121" s="150">
        <f>VLOOKUP(A121,'OPEB Amounts_Report'!$A$10:$A$319,1,FALSE)</f>
        <v>5013</v>
      </c>
      <c r="G121" s="5">
        <f>VLOOKUP(A121,'Change in Proportion Calc'!$A$5:$A$311,1,FALSE)</f>
        <v>5013</v>
      </c>
      <c r="H121" s="87"/>
    </row>
    <row r="122" spans="1:8">
      <c r="A122" s="10">
        <v>3110</v>
      </c>
      <c r="B122" s="11" t="str">
        <f t="shared" si="5"/>
        <v>GRANT COUNTY</v>
      </c>
      <c r="C122" s="135">
        <f t="shared" si="3"/>
        <v>176925</v>
      </c>
      <c r="D122" s="137">
        <f t="shared" si="4"/>
        <v>1.3046278196026794E-3</v>
      </c>
      <c r="E122" s="158"/>
      <c r="F122" s="150">
        <f>VLOOKUP(A122,'OPEB Amounts_Report'!$A$10:$A$319,1,FALSE)</f>
        <v>3110</v>
      </c>
      <c r="G122" s="5">
        <f>VLOOKUP(A122,'Change in Proportion Calc'!$A$5:$A$311,1,FALSE)</f>
        <v>3110</v>
      </c>
      <c r="H122" s="87"/>
    </row>
    <row r="123" spans="1:8">
      <c r="A123" s="12">
        <v>14044</v>
      </c>
      <c r="B123" s="13" t="str">
        <f t="shared" si="5"/>
        <v>GRANTS-CIBOLA COUNTY SCHOOLS</v>
      </c>
      <c r="C123" s="136">
        <f t="shared" si="3"/>
        <v>569841</v>
      </c>
      <c r="D123" s="138">
        <f t="shared" si="4"/>
        <v>4.2019523603233598E-3</v>
      </c>
      <c r="E123" s="158"/>
      <c r="F123" s="150">
        <f>VLOOKUP(A123,'OPEB Amounts_Report'!$A$10:$A$319,1,FALSE)</f>
        <v>14044</v>
      </c>
      <c r="G123" s="5">
        <f>VLOOKUP(A123,'Change in Proportion Calc'!$A$5:$A$311,1,FALSE)</f>
        <v>14044</v>
      </c>
      <c r="H123" s="87"/>
    </row>
    <row r="124" spans="1:8">
      <c r="A124" s="10">
        <v>4009</v>
      </c>
      <c r="B124" s="11" t="str">
        <f t="shared" si="5"/>
        <v>HAGERMAN MUNICIPAL SCHOOLS</v>
      </c>
      <c r="C124" s="135">
        <f t="shared" si="3"/>
        <v>84425</v>
      </c>
      <c r="D124" s="137">
        <f t="shared" si="4"/>
        <v>6.2254177572392943E-4</v>
      </c>
      <c r="E124" s="158"/>
      <c r="F124" s="150">
        <f>VLOOKUP(A124,'OPEB Amounts_Report'!$A$10:$A$319,1,FALSE)</f>
        <v>4009</v>
      </c>
      <c r="G124" s="5">
        <f>VLOOKUP(A124,'Change in Proportion Calc'!$A$5:$A$311,1,FALSE)</f>
        <v>4009</v>
      </c>
      <c r="H124" s="87"/>
    </row>
    <row r="125" spans="1:8">
      <c r="A125" s="12">
        <v>7022</v>
      </c>
      <c r="B125" s="13" t="str">
        <f t="shared" si="5"/>
        <v>HATCH VALLEY MUNICIPAL SCHOOLS</v>
      </c>
      <c r="C125" s="136">
        <f t="shared" si="3"/>
        <v>249281</v>
      </c>
      <c r="D125" s="138">
        <f t="shared" si="4"/>
        <v>1.8381739578825803E-3</v>
      </c>
      <c r="E125" s="158"/>
      <c r="F125" s="150">
        <f>VLOOKUP(A125,'OPEB Amounts_Report'!$A$10:$A$319,1,FALSE)</f>
        <v>7022</v>
      </c>
      <c r="G125" s="5">
        <f>VLOOKUP(A125,'Change in Proportion Calc'!$A$5:$A$311,1,FALSE)</f>
        <v>7022</v>
      </c>
      <c r="H125" s="87"/>
    </row>
    <row r="126" spans="1:8">
      <c r="A126" s="10">
        <v>2430</v>
      </c>
      <c r="B126" s="11" t="str">
        <f t="shared" si="5"/>
        <v>HEALTH LEADERSHIP HIGH SCHOOL</v>
      </c>
      <c r="C126" s="135">
        <f t="shared" si="3"/>
        <v>29559</v>
      </c>
      <c r="D126" s="137">
        <f t="shared" si="4"/>
        <v>2.1796520401094025E-4</v>
      </c>
      <c r="E126" s="158"/>
      <c r="F126" s="150">
        <f>VLOOKUP(A126,'OPEB Amounts_Report'!$A$10:$A$319,1,FALSE)</f>
        <v>2430</v>
      </c>
      <c r="G126" s="5">
        <f>VLOOKUP(A126,'Change in Proportion Calc'!$A$5:$A$311,1,FALSE)</f>
        <v>2430</v>
      </c>
      <c r="H126" s="87"/>
    </row>
    <row r="127" spans="1:8">
      <c r="A127" s="12">
        <v>9150</v>
      </c>
      <c r="B127" s="13" t="str">
        <f t="shared" si="5"/>
        <v>HIGH PLAINS REGIONAL EDUCATION COOPERATIVE</v>
      </c>
      <c r="C127" s="136">
        <f t="shared" si="3"/>
        <v>14757</v>
      </c>
      <c r="D127" s="138">
        <f t="shared" si="4"/>
        <v>1.0881668918398611E-4</v>
      </c>
      <c r="E127" s="158"/>
      <c r="F127" s="150">
        <f>VLOOKUP(A127,'OPEB Amounts_Report'!$A$10:$A$319,1,FALSE)</f>
        <v>9150</v>
      </c>
      <c r="G127" s="5">
        <f>VLOOKUP(A127,'Change in Proportion Calc'!$A$5:$A$311,1,FALSE)</f>
        <v>9150</v>
      </c>
      <c r="H127" s="87"/>
    </row>
    <row r="128" spans="1:8">
      <c r="A128" s="10">
        <v>6017</v>
      </c>
      <c r="B128" s="11" t="str">
        <f t="shared" si="5"/>
        <v>HOBBS MUNICIPAL SCHOOLS</v>
      </c>
      <c r="C128" s="135">
        <f t="shared" si="3"/>
        <v>1685325</v>
      </c>
      <c r="D128" s="137">
        <f t="shared" si="4"/>
        <v>1.24274233718914E-2</v>
      </c>
      <c r="E128" s="158"/>
      <c r="F128" s="150">
        <f>VLOOKUP(A128,'OPEB Amounts_Report'!$A$10:$A$319,1,FALSE)</f>
        <v>6017</v>
      </c>
      <c r="G128" s="5">
        <f>VLOOKUP(A128,'Change in Proportion Calc'!$A$5:$A$311,1,FALSE)</f>
        <v>6017</v>
      </c>
      <c r="H128" s="87"/>
    </row>
    <row r="129" spans="1:8">
      <c r="A129" s="12">
        <v>26080</v>
      </c>
      <c r="B129" s="13" t="str">
        <f t="shared" si="5"/>
        <v>HONDO VALLEY PUBLIC SCHOOLS</v>
      </c>
      <c r="C129" s="136">
        <f t="shared" si="3"/>
        <v>37311</v>
      </c>
      <c r="D129" s="138">
        <f t="shared" si="4"/>
        <v>2.7512770143956806E-4</v>
      </c>
      <c r="E129" s="158"/>
      <c r="F129" s="150">
        <f>VLOOKUP(A129,'OPEB Amounts_Report'!$A$10:$A$319,1,FALSE)</f>
        <v>26080</v>
      </c>
      <c r="G129" s="5">
        <f>VLOOKUP(A129,'Change in Proportion Calc'!$A$5:$A$311,1,FALSE)</f>
        <v>26080</v>
      </c>
      <c r="H129" s="87"/>
    </row>
    <row r="130" spans="1:8">
      <c r="A130" s="10">
        <v>2327</v>
      </c>
      <c r="B130" s="11" t="str">
        <f t="shared" si="5"/>
        <v>HORIZON ACADEMY WEST</v>
      </c>
      <c r="C130" s="135">
        <f t="shared" si="3"/>
        <v>61320</v>
      </c>
      <c r="D130" s="137">
        <f t="shared" si="4"/>
        <v>4.5216774281778326E-4</v>
      </c>
      <c r="E130" s="158"/>
      <c r="F130" s="150">
        <f>VLOOKUP(A130,'OPEB Amounts_Report'!$A$10:$A$319,1,FALSE)</f>
        <v>2327</v>
      </c>
      <c r="G130" s="5">
        <f>VLOOKUP(A130,'Change in Proportion Calc'!$A$5:$A$311,1,FALSE)</f>
        <v>2327</v>
      </c>
      <c r="H130" s="87"/>
    </row>
    <row r="131" spans="1:8">
      <c r="A131" s="12">
        <v>10119</v>
      </c>
      <c r="B131" s="13" t="str">
        <f t="shared" si="5"/>
        <v>HOUSE MUNICIPAL SCHOOLS</v>
      </c>
      <c r="C131" s="136">
        <f t="shared" si="3"/>
        <v>30504</v>
      </c>
      <c r="D131" s="138">
        <f t="shared" si="4"/>
        <v>2.2493354251326909E-4</v>
      </c>
      <c r="E131" s="158"/>
      <c r="F131" s="150">
        <f>VLOOKUP(A131,'OPEB Amounts_Report'!$A$10:$A$319,1,FALSE)</f>
        <v>10119</v>
      </c>
      <c r="G131" s="5">
        <f>VLOOKUP(A131,'Change in Proportion Calc'!$A$5:$A$311,1,FALSE)</f>
        <v>10119</v>
      </c>
      <c r="H131" s="87"/>
    </row>
    <row r="132" spans="1:8">
      <c r="A132" s="10">
        <v>13436</v>
      </c>
      <c r="B132" s="11" t="str">
        <f t="shared" si="5"/>
        <v>HOZHO ACADEMY</v>
      </c>
      <c r="C132" s="135">
        <f t="shared" si="3"/>
        <v>157132</v>
      </c>
      <c r="D132" s="137">
        <f t="shared" si="4"/>
        <v>1.1586761540189811E-3</v>
      </c>
      <c r="E132" s="158"/>
      <c r="F132" s="150">
        <f>VLOOKUP(A132,'OPEB Amounts_Report'!$A$10:$A$319,1,FALSE)</f>
        <v>13436</v>
      </c>
      <c r="G132" s="5">
        <f>VLOOKUP(A132,'Change in Proportion Calc'!$A$5:$A$311,1,FALSE)</f>
        <v>13436</v>
      </c>
      <c r="H132" s="87"/>
    </row>
    <row r="133" spans="1:8">
      <c r="A133" s="12">
        <v>2368</v>
      </c>
      <c r="B133" s="13" t="str">
        <f t="shared" si="5"/>
        <v>INTERNATIONAL SCHOOL AT MESA DEL SOL</v>
      </c>
      <c r="C133" s="136">
        <f t="shared" si="3"/>
        <v>65221</v>
      </c>
      <c r="D133" s="138">
        <f t="shared" si="4"/>
        <v>4.8093333911152387E-4</v>
      </c>
      <c r="E133" s="158"/>
      <c r="F133" s="150">
        <f>VLOOKUP(A133,'OPEB Amounts_Report'!$A$10:$A$319,1,FALSE)</f>
        <v>2368</v>
      </c>
      <c r="G133" s="5">
        <f>VLOOKUP(A133,'Change in Proportion Calc'!$A$5:$A$311,1,FALSE)</f>
        <v>2368</v>
      </c>
      <c r="H133" s="87"/>
    </row>
    <row r="134" spans="1:8">
      <c r="A134" s="10">
        <v>7420</v>
      </c>
      <c r="B134" s="11" t="str">
        <f t="shared" si="5"/>
        <v>J. PAUL TAYLOR ACADEMY</v>
      </c>
      <c r="C134" s="135">
        <f t="shared" si="3"/>
        <v>38386</v>
      </c>
      <c r="D134" s="137">
        <f t="shared" si="4"/>
        <v>2.8305464735491569E-4</v>
      </c>
      <c r="E134" s="158"/>
      <c r="F134" s="150">
        <f>VLOOKUP(A134,'OPEB Amounts_Report'!$A$10:$A$319,1,FALSE)</f>
        <v>7420</v>
      </c>
      <c r="G134" s="5">
        <f>VLOOKUP(A134,'Change in Proportion Calc'!$A$5:$A$311,1,FALSE)</f>
        <v>7420</v>
      </c>
      <c r="H134" s="87"/>
    </row>
    <row r="135" spans="1:8">
      <c r="A135" s="12">
        <v>6018</v>
      </c>
      <c r="B135" s="13" t="str">
        <f t="shared" si="5"/>
        <v>JAL PUBLIC SCHOOLS</v>
      </c>
      <c r="C135" s="136">
        <f t="shared" si="3"/>
        <v>146600</v>
      </c>
      <c r="D135" s="138">
        <f t="shared" si="4"/>
        <v>1.0810142057581056E-3</v>
      </c>
      <c r="E135" s="158"/>
      <c r="F135" s="150">
        <f>VLOOKUP(A135,'OPEB Amounts_Report'!$A$10:$A$319,1,FALSE)</f>
        <v>6018</v>
      </c>
      <c r="G135" s="5">
        <f>VLOOKUP(A135,'Change in Proportion Calc'!$A$5:$A$311,1,FALSE)</f>
        <v>6018</v>
      </c>
      <c r="H135" s="87"/>
    </row>
    <row r="136" spans="1:8">
      <c r="A136" s="10">
        <v>3321</v>
      </c>
      <c r="B136" s="11" t="str">
        <f t="shared" si="5"/>
        <v>JEFFERSON MONTESSORI ACADEMY</v>
      </c>
      <c r="C136" s="135">
        <f t="shared" si="3"/>
        <v>33831</v>
      </c>
      <c r="D136" s="137">
        <f t="shared" si="4"/>
        <v>2.494665183833729E-4</v>
      </c>
      <c r="E136" s="158"/>
      <c r="F136" s="150">
        <f>VLOOKUP(A136,'OPEB Amounts_Report'!$A$10:$A$319,1,FALSE)</f>
        <v>3321</v>
      </c>
      <c r="G136" s="5">
        <f>VLOOKUP(A136,'Change in Proportion Calc'!$A$5:$A$311,1,FALSE)</f>
        <v>3321</v>
      </c>
      <c r="H136" s="87"/>
    </row>
    <row r="137" spans="1:8">
      <c r="A137" s="12">
        <v>29122</v>
      </c>
      <c r="B137" s="13" t="str">
        <f t="shared" si="5"/>
        <v>JEMEZ MOUNTAIN SCHOOL DISTRICT</v>
      </c>
      <c r="C137" s="136">
        <f t="shared" ref="C137:C200" si="6">+VLOOKUP(A137,$D$321:$F$628,3,FALSE)</f>
        <v>59246</v>
      </c>
      <c r="D137" s="138">
        <f t="shared" ref="D137:D200" si="7">+C137/$C$316</f>
        <v>4.3687426762854516E-4</v>
      </c>
      <c r="E137" s="158"/>
      <c r="F137" s="150">
        <f>VLOOKUP(A137,'OPEB Amounts_Report'!$A$10:$A$319,1,FALSE)</f>
        <v>29122</v>
      </c>
      <c r="G137" s="5">
        <f>VLOOKUP(A137,'Change in Proportion Calc'!$A$5:$A$311,1,FALSE)</f>
        <v>29122</v>
      </c>
      <c r="H137" s="87"/>
    </row>
    <row r="138" spans="1:8">
      <c r="A138" s="183">
        <v>29088</v>
      </c>
      <c r="B138" s="184" t="str">
        <f t="shared" si="5"/>
        <v>JEMEZ VALLEY PUBLIC SCHOOLS</v>
      </c>
      <c r="C138" s="185">
        <f t="shared" si="6"/>
        <v>76499</v>
      </c>
      <c r="D138" s="186">
        <f t="shared" si="7"/>
        <v>5.6409621914249185E-4</v>
      </c>
      <c r="E138" s="158"/>
      <c r="F138" s="150">
        <f>VLOOKUP(A138,'OPEB Amounts_Report'!$A$10:$A$319,1,FALSE)</f>
        <v>29088</v>
      </c>
      <c r="G138" s="5">
        <f>VLOOKUP(A138,'Change in Proportion Calc'!$A$5:$A$311,1,FALSE)</f>
        <v>29088</v>
      </c>
      <c r="H138" s="87"/>
    </row>
    <row r="139" spans="1:8">
      <c r="A139" s="10">
        <v>7337</v>
      </c>
      <c r="B139" s="11" t="str">
        <f t="shared" ref="B139:B202" si="8">VLOOKUP(A139,$D$324:$E$628,2,FALSE)</f>
        <v>LA ACADEMIA DE DOLORES HUERTA</v>
      </c>
      <c r="C139" s="135">
        <f t="shared" si="6"/>
        <v>15495</v>
      </c>
      <c r="D139" s="137">
        <f t="shared" si="7"/>
        <v>1.1425862972866197E-4</v>
      </c>
      <c r="E139" s="158"/>
      <c r="F139" s="150">
        <f>VLOOKUP(A139,'OPEB Amounts_Report'!$A$10:$A$319,1,FALSE)</f>
        <v>7337</v>
      </c>
      <c r="G139" s="5">
        <f>VLOOKUP(A139,'Change in Proportion Calc'!$A$5:$A$311,1,FALSE)</f>
        <v>7337</v>
      </c>
      <c r="H139" s="87"/>
    </row>
    <row r="140" spans="1:8">
      <c r="A140" s="12">
        <v>2329</v>
      </c>
      <c r="B140" s="13" t="str">
        <f t="shared" si="8"/>
        <v>LA ACADEMIA DE ESPERANZA CHARTER SCHOOL</v>
      </c>
      <c r="C140" s="136">
        <f t="shared" si="6"/>
        <v>39803</v>
      </c>
      <c r="D140" s="138">
        <f t="shared" si="7"/>
        <v>2.9350346815682041E-4</v>
      </c>
      <c r="E140" s="158"/>
      <c r="F140" s="150">
        <f>VLOOKUP(A140,'OPEB Amounts_Report'!$A$10:$A$319,1,FALSE)</f>
        <v>2329</v>
      </c>
      <c r="G140" s="5">
        <f>VLOOKUP(A140,'Change in Proportion Calc'!$A$5:$A$311,1,FALSE)</f>
        <v>2329</v>
      </c>
      <c r="H140" s="87"/>
    </row>
    <row r="141" spans="1:8">
      <c r="A141" s="10">
        <v>4010</v>
      </c>
      <c r="B141" s="11" t="str">
        <f t="shared" si="8"/>
        <v>LAKE ARTHUR SCHOOLS</v>
      </c>
      <c r="C141" s="135">
        <f t="shared" si="6"/>
        <v>39761</v>
      </c>
      <c r="D141" s="137">
        <f t="shared" si="7"/>
        <v>2.931937642233836E-4</v>
      </c>
      <c r="E141" s="158"/>
      <c r="F141" s="150">
        <f>VLOOKUP(A141,'OPEB Amounts_Report'!$A$10:$A$319,1,FALSE)</f>
        <v>4010</v>
      </c>
      <c r="G141" s="5">
        <f>VLOOKUP(A141,'Change in Proportion Calc'!$A$5:$A$311,1,FALSE)</f>
        <v>4010</v>
      </c>
      <c r="H141" s="87"/>
    </row>
    <row r="142" spans="1:8">
      <c r="A142" s="12">
        <v>7023</v>
      </c>
      <c r="B142" s="13" t="str">
        <f t="shared" si="8"/>
        <v>LAS CRUCES PUBLIC SCHOOLS</v>
      </c>
      <c r="C142" s="136">
        <f t="shared" si="6"/>
        <v>4396208</v>
      </c>
      <c r="D142" s="138">
        <f t="shared" si="7"/>
        <v>3.2417212138249857E-2</v>
      </c>
      <c r="E142" s="158"/>
      <c r="F142" s="150">
        <f>VLOOKUP(A142,'OPEB Amounts_Report'!$A$10:$A$319,1,FALSE)</f>
        <v>7023</v>
      </c>
      <c r="G142" s="5">
        <f>VLOOKUP(A142,'Change in Proportion Calc'!$A$5:$A$311,1,FALSE)</f>
        <v>7023</v>
      </c>
      <c r="H142" s="87"/>
    </row>
    <row r="143" spans="1:8">
      <c r="A143" s="10">
        <v>7338</v>
      </c>
      <c r="B143" s="11" t="str">
        <f t="shared" si="8"/>
        <v>SENDERO SCHOOL OF ACADEMICS AND CAREER PREPARATION (FORMERLY LAS MONTANAS CHARTER HIGH SCHOOL)</v>
      </c>
      <c r="C143" s="135">
        <f t="shared" si="6"/>
        <v>33201</v>
      </c>
      <c r="D143" s="137">
        <f t="shared" si="7"/>
        <v>2.4482095938182033E-4</v>
      </c>
      <c r="E143" s="158"/>
      <c r="F143" s="150">
        <f>VLOOKUP(A143,'OPEB Amounts_Report'!$A$10:$A$319,1,FALSE)</f>
        <v>7338</v>
      </c>
      <c r="G143" s="5">
        <f>VLOOKUP(A143,'Change in Proportion Calc'!$A$5:$A$311,1,FALSE)</f>
        <v>7338</v>
      </c>
      <c r="H143" s="87"/>
    </row>
    <row r="144" spans="1:8">
      <c r="A144" s="12">
        <v>12037</v>
      </c>
      <c r="B144" s="13" t="str">
        <f t="shared" si="8"/>
        <v>LAS VEGAS CITY SCHOOLS</v>
      </c>
      <c r="C144" s="136">
        <f t="shared" si="6"/>
        <v>236174</v>
      </c>
      <c r="D144" s="138">
        <f t="shared" si="7"/>
        <v>1.7415242089407559E-3</v>
      </c>
      <c r="E144" s="158"/>
      <c r="F144" s="150">
        <f>VLOOKUP(A144,'OPEB Amounts_Report'!$A$10:$A$319,1,FALSE)</f>
        <v>12037</v>
      </c>
      <c r="G144" s="5">
        <f>VLOOKUP(A144,'Change in Proportion Calc'!$A$5:$A$311,1,FALSE)</f>
        <v>12037</v>
      </c>
      <c r="H144" s="87"/>
    </row>
    <row r="145" spans="1:8">
      <c r="A145" s="10">
        <v>3150</v>
      </c>
      <c r="B145" s="11" t="str">
        <f t="shared" si="8"/>
        <v>LEA COUNTY</v>
      </c>
      <c r="C145" s="135">
        <f t="shared" si="6"/>
        <v>590279</v>
      </c>
      <c r="D145" s="137">
        <f t="shared" si="7"/>
        <v>4.352660193456267E-3</v>
      </c>
      <c r="E145" s="158"/>
      <c r="F145" s="150">
        <f>VLOOKUP(A145,'OPEB Amounts_Report'!$A$10:$A$319,1,FALSE)</f>
        <v>3150</v>
      </c>
      <c r="G145" s="5">
        <f>VLOOKUP(A145,'Change in Proportion Calc'!$A$5:$A$311,1,FALSE)</f>
        <v>3150</v>
      </c>
      <c r="H145" s="87"/>
    </row>
    <row r="146" spans="1:8">
      <c r="A146" s="12">
        <v>3160</v>
      </c>
      <c r="B146" s="13" t="str">
        <f t="shared" si="8"/>
        <v>LINCOLN COUNTY</v>
      </c>
      <c r="C146" s="136">
        <f t="shared" si="6"/>
        <v>118286</v>
      </c>
      <c r="D146" s="138">
        <f t="shared" si="7"/>
        <v>8.7222951120261439E-4</v>
      </c>
      <c r="E146" s="158"/>
      <c r="F146" s="150">
        <f>VLOOKUP(A146,'OPEB Amounts_Report'!$A$10:$A$319,1,FALSE)</f>
        <v>3160</v>
      </c>
      <c r="G146" s="5">
        <f>VLOOKUP(A146,'Change in Proportion Calc'!$A$5:$A$311,1,FALSE)</f>
        <v>3160</v>
      </c>
      <c r="H146" s="87"/>
    </row>
    <row r="147" spans="1:8">
      <c r="A147" s="10">
        <v>10120</v>
      </c>
      <c r="B147" s="11" t="str">
        <f t="shared" si="8"/>
        <v>LOGAN MUNICIPAL SCHOOLS</v>
      </c>
      <c r="C147" s="135">
        <f t="shared" si="6"/>
        <v>61006</v>
      </c>
      <c r="D147" s="137">
        <f t="shared" si="7"/>
        <v>4.4985233722018406E-4</v>
      </c>
      <c r="E147" s="158"/>
      <c r="F147" s="150">
        <f>VLOOKUP(A147,'OPEB Amounts_Report'!$A$10:$A$319,1,FALSE)</f>
        <v>10120</v>
      </c>
      <c r="G147" s="5">
        <f>VLOOKUP(A147,'Change in Proportion Calc'!$A$5:$A$311,1,FALSE)</f>
        <v>10120</v>
      </c>
      <c r="H147" s="87"/>
    </row>
    <row r="148" spans="1:8">
      <c r="A148" s="12">
        <v>23070</v>
      </c>
      <c r="B148" s="13" t="str">
        <f t="shared" si="8"/>
        <v>LORDSBURG MUNICIPAL SCHOOLS</v>
      </c>
      <c r="C148" s="136">
        <f t="shared" si="6"/>
        <v>94898</v>
      </c>
      <c r="D148" s="138">
        <f t="shared" si="7"/>
        <v>6.9976866369735806E-4</v>
      </c>
      <c r="E148" s="158"/>
      <c r="F148" s="150">
        <f>VLOOKUP(A148,'OPEB Amounts_Report'!$A$10:$A$319,1,FALSE)</f>
        <v>23070</v>
      </c>
      <c r="G148" s="5">
        <f>VLOOKUP(A148,'Change in Proportion Calc'!$A$5:$A$311,1,FALSE)</f>
        <v>23070</v>
      </c>
      <c r="H148" s="87"/>
    </row>
    <row r="149" spans="1:8">
      <c r="A149" s="10">
        <v>3170</v>
      </c>
      <c r="B149" s="11" t="str">
        <f t="shared" si="8"/>
        <v>LOS ALAMOS COUNTY</v>
      </c>
      <c r="C149" s="135">
        <f t="shared" si="6"/>
        <v>1359602</v>
      </c>
      <c r="D149" s="137">
        <f t="shared" si="7"/>
        <v>1.002557350734742E-2</v>
      </c>
      <c r="E149" s="158"/>
      <c r="F149" s="150">
        <f>VLOOKUP(A149,'OPEB Amounts_Report'!$A$10:$A$319,1,FALSE)</f>
        <v>3170</v>
      </c>
      <c r="G149" s="5">
        <f>VLOOKUP(A149,'Change in Proportion Calc'!$A$5:$A$311,1,FALSE)</f>
        <v>3170</v>
      </c>
      <c r="H149" s="87"/>
    </row>
    <row r="150" spans="1:8">
      <c r="A150" s="12">
        <v>32093</v>
      </c>
      <c r="B150" s="13" t="str">
        <f t="shared" si="8"/>
        <v>LOS ALAMOS PUBLIC SCHOOLS</v>
      </c>
      <c r="C150" s="136">
        <f t="shared" si="6"/>
        <v>797680</v>
      </c>
      <c r="D150" s="138">
        <f t="shared" si="7"/>
        <v>5.8820150862832574E-3</v>
      </c>
      <c r="E150" s="158"/>
      <c r="F150" s="150">
        <f>VLOOKUP(A150,'OPEB Amounts_Report'!$A$10:$A$319,1,FALSE)</f>
        <v>32093</v>
      </c>
      <c r="G150" s="5">
        <f>VLOOKUP(A150,'Change in Proportion Calc'!$A$5:$A$311,1,FALSE)</f>
        <v>32093</v>
      </c>
      <c r="H150" s="87"/>
    </row>
    <row r="151" spans="1:8">
      <c r="A151" s="10">
        <v>14045</v>
      </c>
      <c r="B151" s="11" t="str">
        <f t="shared" si="8"/>
        <v>LOS LUNAS CONSOLIDATED SCHOOLS</v>
      </c>
      <c r="C151" s="135">
        <f t="shared" si="6"/>
        <v>1527674</v>
      </c>
      <c r="D151" s="137">
        <f t="shared" si="7"/>
        <v>1.1264920162123521E-2</v>
      </c>
      <c r="E151" s="158"/>
      <c r="F151" s="150">
        <f>VLOOKUP(A151,'OPEB Amounts_Report'!$A$10:$A$319,1,FALSE)</f>
        <v>14045</v>
      </c>
      <c r="G151" s="5">
        <f>VLOOKUP(A151,'Change in Proportion Calc'!$A$5:$A$311,1,FALSE)</f>
        <v>14045</v>
      </c>
      <c r="H151" s="87"/>
    </row>
    <row r="152" spans="1:8">
      <c r="A152" s="12">
        <v>2322</v>
      </c>
      <c r="B152" s="13" t="str">
        <f t="shared" si="8"/>
        <v>ARCHER ACADEMY OF ACCELERATED LEARNING (FORMERLY LOS PUENTES CHARTER SCHOOL)</v>
      </c>
      <c r="C152" s="136">
        <f t="shared" si="6"/>
        <v>25823</v>
      </c>
      <c r="D152" s="138">
        <f t="shared" si="7"/>
        <v>1.9041630174141582E-4</v>
      </c>
      <c r="E152" s="158"/>
      <c r="F152" s="150">
        <f>VLOOKUP(A152,'OPEB Amounts_Report'!$A$10:$A$319,1,FALSE)</f>
        <v>2322</v>
      </c>
      <c r="G152" s="5">
        <f>VLOOKUP(A152,'Change in Proportion Calc'!$A$5:$A$311,1,FALSE)</f>
        <v>2322</v>
      </c>
      <c r="H152" s="87"/>
    </row>
    <row r="153" spans="1:8">
      <c r="A153" s="10">
        <v>3006</v>
      </c>
      <c r="B153" s="11" t="str">
        <f t="shared" si="8"/>
        <v>LOVING MUNICIPAL SCHOOLS</v>
      </c>
      <c r="C153" s="135">
        <f t="shared" si="6"/>
        <v>131265</v>
      </c>
      <c r="D153" s="137">
        <f t="shared" si="7"/>
        <v>9.6793540053777434E-4</v>
      </c>
      <c r="E153" s="158"/>
      <c r="F153" s="150">
        <f>VLOOKUP(A153,'OPEB Amounts_Report'!$A$10:$A$319,1,FALSE)</f>
        <v>3006</v>
      </c>
      <c r="G153" s="5">
        <f>VLOOKUP(A153,'Change in Proportion Calc'!$A$5:$A$311,1,FALSE)</f>
        <v>3006</v>
      </c>
      <c r="H153" s="87"/>
    </row>
    <row r="154" spans="1:8">
      <c r="A154" s="12">
        <v>6019</v>
      </c>
      <c r="B154" s="13" t="str">
        <f t="shared" si="8"/>
        <v>LOVINGTON MUNICIPAL SCHOOLS</v>
      </c>
      <c r="C154" s="136">
        <f t="shared" si="6"/>
        <v>662250</v>
      </c>
      <c r="D154" s="138">
        <f t="shared" si="7"/>
        <v>4.8833673790129968E-3</v>
      </c>
      <c r="E154" s="158"/>
      <c r="F154" s="150">
        <f>VLOOKUP(A154,'OPEB Amounts_Report'!$A$10:$A$319,1,FALSE)</f>
        <v>6019</v>
      </c>
      <c r="G154" s="5">
        <f>VLOOKUP(A154,'Change in Proportion Calc'!$A$5:$A$311,1,FALSE)</f>
        <v>6019</v>
      </c>
      <c r="H154" s="87"/>
    </row>
    <row r="155" spans="1:8">
      <c r="A155" s="10">
        <v>12128</v>
      </c>
      <c r="B155" s="11" t="str">
        <f t="shared" si="8"/>
        <v>LUNA COMMUNITY COLLEGE</v>
      </c>
      <c r="C155" s="135">
        <f t="shared" si="6"/>
        <v>131747</v>
      </c>
      <c r="D155" s="137">
        <f t="shared" si="7"/>
        <v>9.7148962186912094E-4</v>
      </c>
      <c r="E155" s="158"/>
      <c r="F155" s="150">
        <f>VLOOKUP(A155,'OPEB Amounts_Report'!$A$10:$A$319,1,FALSE)</f>
        <v>12128</v>
      </c>
      <c r="G155" s="5">
        <f>VLOOKUP(A155,'Change in Proportion Calc'!$A$5:$A$311,1,FALSE)</f>
        <v>12128</v>
      </c>
      <c r="H155" s="87"/>
    </row>
    <row r="156" spans="1:8">
      <c r="A156" s="12">
        <v>3180</v>
      </c>
      <c r="B156" s="13" t="str">
        <f t="shared" si="8"/>
        <v>LUNA COUNTY</v>
      </c>
      <c r="C156" s="136">
        <f t="shared" si="6"/>
        <v>232863</v>
      </c>
      <c r="D156" s="138">
        <f t="shared" si="7"/>
        <v>1.7171092155214851E-3</v>
      </c>
      <c r="E156" s="158"/>
      <c r="F156" s="150">
        <f>VLOOKUP(A156,'OPEB Amounts_Report'!$A$10:$A$319,1,FALSE)</f>
        <v>3180</v>
      </c>
      <c r="G156" s="5">
        <f>VLOOKUP(A156,'Change in Proportion Calc'!$A$5:$A$311,1,FALSE)</f>
        <v>3180</v>
      </c>
      <c r="H156" s="87"/>
    </row>
    <row r="157" spans="1:8">
      <c r="A157" s="10">
        <v>25075</v>
      </c>
      <c r="B157" s="11" t="str">
        <f t="shared" si="8"/>
        <v>MAGDALENA MUNICIPAL SCHOOLS</v>
      </c>
      <c r="C157" s="135">
        <f t="shared" si="6"/>
        <v>89056</v>
      </c>
      <c r="D157" s="137">
        <f t="shared" si="7"/>
        <v>6.5669032133692932E-4</v>
      </c>
      <c r="E157" s="158"/>
      <c r="F157" s="150">
        <f>VLOOKUP(A157,'OPEB Amounts_Report'!$A$10:$A$319,1,FALSE)</f>
        <v>25075</v>
      </c>
      <c r="G157" s="5">
        <f>VLOOKUP(A157,'Change in Proportion Calc'!$A$5:$A$311,1,FALSE)</f>
        <v>25075</v>
      </c>
      <c r="H157" s="87"/>
    </row>
    <row r="158" spans="1:8">
      <c r="A158" s="12">
        <v>2311</v>
      </c>
      <c r="B158" s="13" t="str">
        <f t="shared" si="8"/>
        <v>MARK ARMIJO ACADEMY</v>
      </c>
      <c r="C158" s="136">
        <f t="shared" si="6"/>
        <v>43933</v>
      </c>
      <c r="D158" s="138">
        <f t="shared" si="7"/>
        <v>3.2395768827810946E-4</v>
      </c>
      <c r="E158" s="158"/>
      <c r="F158" s="150">
        <f>VLOOKUP(A158,'OPEB Amounts_Report'!$A$10:$A$319,1,FALSE)</f>
        <v>2311</v>
      </c>
      <c r="G158" s="5">
        <f>VLOOKUP(A158,'Change in Proportion Calc'!$A$5:$A$311,1,FALSE)</f>
        <v>2311</v>
      </c>
      <c r="H158" s="87"/>
    </row>
    <row r="159" spans="1:8">
      <c r="A159" s="10">
        <v>9028</v>
      </c>
      <c r="B159" s="11" t="str">
        <f t="shared" si="8"/>
        <v>MAXWELL MUNICIPAL SCHOOLS</v>
      </c>
      <c r="C159" s="135">
        <f t="shared" si="6"/>
        <v>35890</v>
      </c>
      <c r="D159" s="137">
        <f t="shared" si="7"/>
        <v>2.64649385024955E-4</v>
      </c>
      <c r="E159" s="158"/>
      <c r="F159" s="150">
        <f>VLOOKUP(A159,'OPEB Amounts_Report'!$A$10:$A$319,1,FALSE)</f>
        <v>9028</v>
      </c>
      <c r="G159" s="5">
        <f>VLOOKUP(A159,'Change in Proportion Calc'!$A$5:$A$311,1,FALSE)</f>
        <v>9028</v>
      </c>
      <c r="H159" s="87"/>
    </row>
    <row r="160" spans="1:8">
      <c r="A160" s="12">
        <v>17424</v>
      </c>
      <c r="B160" s="13" t="str">
        <f t="shared" si="8"/>
        <v>MCCURDY CHARTER SCHOOL</v>
      </c>
      <c r="C160" s="136">
        <f t="shared" si="6"/>
        <v>73308</v>
      </c>
      <c r="D160" s="138">
        <f t="shared" si="7"/>
        <v>5.4056609410446925E-4</v>
      </c>
      <c r="E160" s="158"/>
      <c r="F160" s="150">
        <f>VLOOKUP(A160,'OPEB Amounts_Report'!$A$10:$A$319,1,FALSE)</f>
        <v>17424</v>
      </c>
      <c r="G160" s="5">
        <f>VLOOKUP(A160,'Change in Proportion Calc'!$A$5:$A$311,1,FALSE)</f>
        <v>17424</v>
      </c>
      <c r="H160" s="87"/>
    </row>
    <row r="161" spans="1:8">
      <c r="A161" s="10">
        <v>3200</v>
      </c>
      <c r="B161" s="11" t="str">
        <f t="shared" si="8"/>
        <v>MCKINLEY COUNTY</v>
      </c>
      <c r="C161" s="135">
        <f t="shared" si="6"/>
        <v>254957</v>
      </c>
      <c r="D161" s="137">
        <f t="shared" si="7"/>
        <v>1.8800282323156159E-3</v>
      </c>
      <c r="E161" s="158"/>
      <c r="F161" s="150">
        <f>VLOOKUP(A161,'OPEB Amounts_Report'!$A$10:$A$319,1,FALSE)</f>
        <v>3200</v>
      </c>
      <c r="G161" s="5">
        <f>VLOOKUP(A161,'Change in Proportion Calc'!$A$5:$A$311,1,FALSE)</f>
        <v>3200</v>
      </c>
      <c r="H161" s="87"/>
    </row>
    <row r="162" spans="1:8">
      <c r="A162" s="12">
        <v>2365</v>
      </c>
      <c r="B162" s="13" t="str">
        <f t="shared" si="8"/>
        <v>NEW MEXICO ACADEMY OF MEDIA ARTS (FORMERLY MEDIA ARTS COLLABORATIVE CHARTER SCHOOL)</v>
      </c>
      <c r="C162" s="136">
        <f t="shared" si="6"/>
        <v>24388</v>
      </c>
      <c r="D162" s="138">
        <f t="shared" si="7"/>
        <v>1.7983475068232386E-4</v>
      </c>
      <c r="E162" s="158"/>
      <c r="F162" s="150">
        <f>VLOOKUP(A162,'OPEB Amounts_Report'!$A$10:$A$319,1,FALSE)</f>
        <v>2365</v>
      </c>
      <c r="G162" s="5">
        <f>VLOOKUP(A162,'Change in Proportion Calc'!$A$5:$A$311,1,FALSE)</f>
        <v>2365</v>
      </c>
      <c r="H162" s="87"/>
    </row>
    <row r="163" spans="1:8">
      <c r="A163" s="10">
        <v>5014</v>
      </c>
      <c r="B163" s="11" t="str">
        <f t="shared" si="8"/>
        <v>MELROSE MUNICIPAL SCHOOLS</v>
      </c>
      <c r="C163" s="135">
        <f t="shared" si="6"/>
        <v>52630</v>
      </c>
      <c r="D163" s="137">
        <f t="shared" si="7"/>
        <v>3.880885242090661E-4</v>
      </c>
      <c r="E163" s="158"/>
      <c r="F163" s="150">
        <f>VLOOKUP(A163,'OPEB Amounts_Report'!$A$10:$A$319,1,FALSE)</f>
        <v>5014</v>
      </c>
      <c r="G163" s="5">
        <f>VLOOKUP(A163,'Change in Proportion Calc'!$A$5:$A$311,1,FALSE)</f>
        <v>5014</v>
      </c>
      <c r="H163" s="87"/>
    </row>
    <row r="164" spans="1:8">
      <c r="A164" s="12">
        <v>17127</v>
      </c>
      <c r="B164" s="13" t="str">
        <f t="shared" si="8"/>
        <v>MESA VISTA SCHOOLS</v>
      </c>
      <c r="C164" s="136">
        <f t="shared" si="6"/>
        <v>54503</v>
      </c>
      <c r="D164" s="138">
        <f t="shared" si="7"/>
        <v>4.0189984485971365E-4</v>
      </c>
      <c r="E164" s="158"/>
      <c r="F164" s="150">
        <f>VLOOKUP(A164,'OPEB Amounts_Report'!$A$10:$A$319,1,FALSE)</f>
        <v>17127</v>
      </c>
      <c r="G164" s="5">
        <f>VLOOKUP(A164,'Change in Proportion Calc'!$A$5:$A$311,1,FALSE)</f>
        <v>17127</v>
      </c>
      <c r="H164" s="87"/>
    </row>
    <row r="165" spans="1:8">
      <c r="A165" s="10">
        <v>10141</v>
      </c>
      <c r="B165" s="11" t="str">
        <f t="shared" si="8"/>
        <v>MESALANDS COMMUNITY COLLEGE</v>
      </c>
      <c r="C165" s="135">
        <f t="shared" si="6"/>
        <v>76223</v>
      </c>
      <c r="D165" s="137">
        <f t="shared" si="7"/>
        <v>5.6206102186562128E-4</v>
      </c>
      <c r="E165" s="158"/>
      <c r="F165" s="150">
        <f>VLOOKUP(A165,'OPEB Amounts_Report'!$A$10:$A$319,1,FALSE)</f>
        <v>10141</v>
      </c>
      <c r="G165" s="5">
        <f>VLOOKUP(A165,'Change in Proportion Calc'!$A$5:$A$311,1,FALSE)</f>
        <v>10141</v>
      </c>
      <c r="H165" s="87"/>
    </row>
    <row r="166" spans="1:8">
      <c r="A166" s="12">
        <v>13369</v>
      </c>
      <c r="B166" s="13" t="str">
        <f t="shared" si="8"/>
        <v>MIDDLE COLLEGE HIGH SCHOOL</v>
      </c>
      <c r="C166" s="136">
        <f t="shared" si="6"/>
        <v>18468</v>
      </c>
      <c r="D166" s="138">
        <f t="shared" si="7"/>
        <v>1.3618124387408385E-4</v>
      </c>
      <c r="E166" s="158"/>
      <c r="F166" s="150">
        <f>VLOOKUP(A166,'OPEB Amounts_Report'!$A$10:$A$319,1,FALSE)</f>
        <v>13369</v>
      </c>
      <c r="G166" s="5">
        <f>VLOOKUP(A166,'Change in Proportion Calc'!$A$5:$A$311,1,FALSE)</f>
        <v>13369</v>
      </c>
      <c r="H166" s="87"/>
    </row>
    <row r="167" spans="1:8">
      <c r="A167" s="10">
        <v>4570</v>
      </c>
      <c r="B167" s="11" t="str">
        <f t="shared" si="8"/>
        <v>MID-REGION COUNCIL OF GOVERNMENTS</v>
      </c>
      <c r="C167" s="135">
        <f t="shared" si="6"/>
        <v>208513</v>
      </c>
      <c r="D167" s="137">
        <f t="shared" si="7"/>
        <v>1.5375546731598898E-3</v>
      </c>
      <c r="E167" s="158"/>
      <c r="F167" s="150">
        <f>VLOOKUP(A167,'OPEB Amounts_Report'!$A$10:$A$319,1,FALSE)</f>
        <v>4570</v>
      </c>
      <c r="G167" s="5">
        <f>VLOOKUP(A167,'Change in Proportion Calc'!$A$5:$A$311,1,FALSE)</f>
        <v>4570</v>
      </c>
      <c r="H167" s="87"/>
    </row>
    <row r="168" spans="1:8">
      <c r="A168" s="12">
        <v>2425</v>
      </c>
      <c r="B168" s="13" t="str">
        <f t="shared" si="8"/>
        <v>MISSION ACHIEVEMENT &amp; SUCCESS SCHOOL</v>
      </c>
      <c r="C168" s="136">
        <f t="shared" si="6"/>
        <v>334221</v>
      </c>
      <c r="D168" s="138">
        <f t="shared" si="7"/>
        <v>2.4645132937426996E-3</v>
      </c>
      <c r="E168" s="158"/>
      <c r="F168" s="150">
        <f>VLOOKUP(A168,'OPEB Amounts_Report'!$A$10:$A$319,1,FALSE)</f>
        <v>2425</v>
      </c>
      <c r="G168" s="5">
        <f>VLOOKUP(A168,'Change in Proportion Calc'!$A$5:$A$311,1,FALSE)</f>
        <v>2425</v>
      </c>
      <c r="H168" s="87"/>
    </row>
    <row r="169" spans="1:8">
      <c r="A169" s="10">
        <v>1306</v>
      </c>
      <c r="B169" s="11" t="str">
        <f t="shared" si="8"/>
        <v>MONTE DEL SOL CHARTER SCHOOL</v>
      </c>
      <c r="C169" s="135">
        <f t="shared" si="6"/>
        <v>65474</v>
      </c>
      <c r="D169" s="137">
        <f t="shared" si="7"/>
        <v>4.8279893661532197E-4</v>
      </c>
      <c r="E169" s="158"/>
      <c r="F169" s="150">
        <f>VLOOKUP(A169,'OPEB Amounts_Report'!$A$10:$A$319,1,FALSE)</f>
        <v>1306</v>
      </c>
      <c r="G169" s="5">
        <f>VLOOKUP(A169,'Change in Proportion Calc'!$A$5:$A$311,1,FALSE)</f>
        <v>1306</v>
      </c>
      <c r="H169" s="87"/>
    </row>
    <row r="170" spans="1:8">
      <c r="A170" s="12">
        <v>2351</v>
      </c>
      <c r="B170" s="13" t="str">
        <f t="shared" si="8"/>
        <v>MONTESSORI ACADEMY (FORMERLY MONTESSORI ELEMENTARY CHARTER SCHOOL)</v>
      </c>
      <c r="C170" s="136">
        <f t="shared" si="6"/>
        <v>64684</v>
      </c>
      <c r="D170" s="138">
        <f t="shared" si="7"/>
        <v>4.7697355310543857E-4</v>
      </c>
      <c r="E170" s="158"/>
      <c r="F170" s="150">
        <f>VLOOKUP(A170,'OPEB Amounts_Report'!$A$10:$A$319,1,FALSE)</f>
        <v>2351</v>
      </c>
      <c r="G170" s="5">
        <f>VLOOKUP(A170,'Change in Proportion Calc'!$A$5:$A$311,1,FALSE)</f>
        <v>2351</v>
      </c>
      <c r="H170" s="87"/>
    </row>
    <row r="171" spans="1:8">
      <c r="A171" s="10">
        <v>2334</v>
      </c>
      <c r="B171" s="11" t="str">
        <f t="shared" si="8"/>
        <v>MONTESSORI OF THE RIO GRANDE CHARTER SCHOOL</v>
      </c>
      <c r="C171" s="135">
        <f t="shared" si="6"/>
        <v>42613</v>
      </c>
      <c r="D171" s="137">
        <f t="shared" si="7"/>
        <v>3.142241360843803E-4</v>
      </c>
      <c r="E171" s="158"/>
      <c r="F171" s="150">
        <f>VLOOKUP(A171,'OPEB Amounts_Report'!$A$10:$A$319,1,FALSE)</f>
        <v>2334</v>
      </c>
      <c r="G171" s="5">
        <f>VLOOKUP(A171,'Change in Proportion Calc'!$A$5:$A$311,1,FALSE)</f>
        <v>2334</v>
      </c>
      <c r="H171" s="87"/>
    </row>
    <row r="172" spans="1:8">
      <c r="A172" s="12">
        <v>30089</v>
      </c>
      <c r="B172" s="13" t="str">
        <f t="shared" si="8"/>
        <v>MORA INDEPENDENT SCHOOLS</v>
      </c>
      <c r="C172" s="136">
        <f t="shared" si="6"/>
        <v>99271</v>
      </c>
      <c r="D172" s="138">
        <f t="shared" si="7"/>
        <v>7.3201474229067458E-4</v>
      </c>
      <c r="E172" s="158"/>
      <c r="F172" s="150">
        <f>VLOOKUP(A172,'OPEB Amounts_Report'!$A$10:$A$319,1,FALSE)</f>
        <v>30089</v>
      </c>
      <c r="G172" s="5">
        <f>VLOOKUP(A172,'Change in Proportion Calc'!$A$5:$A$311,1,FALSE)</f>
        <v>30089</v>
      </c>
      <c r="H172" s="87"/>
    </row>
    <row r="173" spans="1:8">
      <c r="A173" s="10">
        <v>9324</v>
      </c>
      <c r="B173" s="11" t="str">
        <f t="shared" si="8"/>
        <v>MORENO VALLEY PREPARATORY (FORMERLY MORENO VALLEY CHARTER HIGH SCHOOL)</v>
      </c>
      <c r="C173" s="135">
        <f t="shared" si="6"/>
        <v>10489</v>
      </c>
      <c r="D173" s="137">
        <f t="shared" si="7"/>
        <v>7.7344870424261717E-5</v>
      </c>
      <c r="E173" s="158"/>
      <c r="F173" s="150">
        <f>VLOOKUP(A173,'OPEB Amounts_Report'!$A$10:$A$319,1,FALSE)</f>
        <v>9324</v>
      </c>
      <c r="G173" s="5">
        <f>VLOOKUP(A173,'Change in Proportion Calc'!$A$5:$A$311,1,FALSE)</f>
        <v>9324</v>
      </c>
      <c r="H173" s="87"/>
    </row>
    <row r="174" spans="1:8">
      <c r="A174" s="12">
        <v>22066</v>
      </c>
      <c r="B174" s="13" t="str">
        <f t="shared" si="8"/>
        <v>MORIARTY-EDGEWOOD SCHOOL DISTRICT</v>
      </c>
      <c r="C174" s="136">
        <f t="shared" si="6"/>
        <v>465159</v>
      </c>
      <c r="D174" s="138">
        <f t="shared" si="7"/>
        <v>3.4300374279415727E-3</v>
      </c>
      <c r="E174" s="158"/>
      <c r="F174" s="150">
        <f>VLOOKUP(A174,'OPEB Amounts_Report'!$A$10:$A$319,1,FALSE)</f>
        <v>22066</v>
      </c>
      <c r="G174" s="5">
        <f>VLOOKUP(A174,'Change in Proportion Calc'!$A$5:$A$311,1,FALSE)</f>
        <v>22066</v>
      </c>
      <c r="H174" s="87"/>
    </row>
    <row r="175" spans="1:8">
      <c r="A175" s="10">
        <v>16356</v>
      </c>
      <c r="B175" s="11" t="str">
        <f t="shared" si="8"/>
        <v>MOSAIC ACADEMY CHARTER SCHOOL</v>
      </c>
      <c r="C175" s="135">
        <f t="shared" si="6"/>
        <v>31035</v>
      </c>
      <c r="D175" s="137">
        <f t="shared" si="7"/>
        <v>2.2884908510029198E-4</v>
      </c>
      <c r="E175" s="158"/>
      <c r="F175" s="150">
        <f>VLOOKUP(A175,'OPEB Amounts_Report'!$A$10:$A$319,1,FALSE)</f>
        <v>16356</v>
      </c>
      <c r="G175" s="5">
        <f>VLOOKUP(A175,'Change in Proportion Calc'!$A$5:$A$311,1,FALSE)</f>
        <v>16356</v>
      </c>
      <c r="H175" s="87"/>
    </row>
    <row r="176" spans="1:8">
      <c r="A176" s="12">
        <v>31091</v>
      </c>
      <c r="B176" s="13" t="str">
        <f t="shared" si="8"/>
        <v>MOSQUERO MUNICIPAL SCHOOLS</v>
      </c>
      <c r="C176" s="136">
        <f t="shared" si="6"/>
        <v>27853</v>
      </c>
      <c r="D176" s="138">
        <f t="shared" si="7"/>
        <v>2.0538532519086297E-4</v>
      </c>
      <c r="E176" s="158"/>
      <c r="F176" s="150">
        <f>VLOOKUP(A176,'OPEB Amounts_Report'!$A$10:$A$319,1,FALSE)</f>
        <v>31091</v>
      </c>
      <c r="G176" s="5">
        <f>VLOOKUP(A176,'Change in Proportion Calc'!$A$5:$A$311,1,FALSE)</f>
        <v>31091</v>
      </c>
      <c r="H176" s="87"/>
    </row>
    <row r="177" spans="1:8">
      <c r="A177" s="10">
        <v>2342</v>
      </c>
      <c r="B177" s="11" t="str">
        <f t="shared" si="8"/>
        <v>MOUNTAIN MAHOGANY COMMUNITY SCHOOL</v>
      </c>
      <c r="C177" s="135">
        <f t="shared" si="6"/>
        <v>47431</v>
      </c>
      <c r="D177" s="137">
        <f t="shared" si="7"/>
        <v>3.4975160159149182E-4</v>
      </c>
      <c r="E177" s="158"/>
      <c r="F177" s="150">
        <f>VLOOKUP(A177,'OPEB Amounts_Report'!$A$10:$A$319,1,FALSE)</f>
        <v>2342</v>
      </c>
      <c r="G177" s="5">
        <f>VLOOKUP(A177,'Change in Proportion Calc'!$A$5:$A$311,1,FALSE)</f>
        <v>2342</v>
      </c>
      <c r="H177" s="87"/>
    </row>
    <row r="178" spans="1:8">
      <c r="A178" s="12">
        <v>22067</v>
      </c>
      <c r="B178" s="13" t="str">
        <f t="shared" si="8"/>
        <v>MOUNTAINAIR PUBLIC SCHOOLS</v>
      </c>
      <c r="C178" s="136">
        <f t="shared" si="6"/>
        <v>57244</v>
      </c>
      <c r="D178" s="138">
        <f t="shared" si="7"/>
        <v>4.2211171346805587E-4</v>
      </c>
      <c r="E178" s="158"/>
      <c r="F178" s="150">
        <f>VLOOKUP(A178,'OPEB Amounts_Report'!$A$10:$A$319,1,FALSE)</f>
        <v>22067</v>
      </c>
      <c r="G178" s="5">
        <f>VLOOKUP(A178,'Change in Proportion Calc'!$A$5:$A$311,1,FALSE)</f>
        <v>22067</v>
      </c>
      <c r="H178" s="87"/>
    </row>
    <row r="179" spans="1:8">
      <c r="A179" s="10">
        <v>25616</v>
      </c>
      <c r="B179" s="11" t="str">
        <f t="shared" si="8"/>
        <v xml:space="preserve">NATIONAL EDUCATION ASSOCIATION - NEW MEXICO </v>
      </c>
      <c r="C179" s="135">
        <f t="shared" si="6"/>
        <v>22917</v>
      </c>
      <c r="D179" s="137">
        <f t="shared" si="7"/>
        <v>1.6898773910885745E-4</v>
      </c>
      <c r="E179" s="158"/>
      <c r="F179" s="150">
        <f>VLOOKUP(A179,'OPEB Amounts_Report'!$A$10:$A$319,1,FALSE)</f>
        <v>25616</v>
      </c>
      <c r="G179" s="5">
        <f>VLOOKUP(A179,'Change in Proportion Calc'!$A$5:$A$311,1,FALSE)</f>
        <v>25616</v>
      </c>
      <c r="H179" s="87"/>
    </row>
    <row r="180" spans="1:8">
      <c r="A180" s="12">
        <v>2354</v>
      </c>
      <c r="B180" s="13" t="str">
        <f t="shared" si="8"/>
        <v>NATIVE AMERICAN COMMUNITY ACADEMY</v>
      </c>
      <c r="C180" s="136">
        <f t="shared" si="6"/>
        <v>97518</v>
      </c>
      <c r="D180" s="138">
        <f t="shared" si="7"/>
        <v>7.1908829002127511E-4</v>
      </c>
      <c r="E180" s="158"/>
      <c r="F180" s="150">
        <f>VLOOKUP(A180,'OPEB Amounts_Report'!$A$10:$A$319,1,FALSE)</f>
        <v>2354</v>
      </c>
      <c r="G180" s="5">
        <f>VLOOKUP(A180,'Change in Proportion Calc'!$A$5:$A$311,1,FALSE)</f>
        <v>2354</v>
      </c>
      <c r="H180" s="87"/>
    </row>
    <row r="181" spans="1:8">
      <c r="A181" s="10">
        <v>2148</v>
      </c>
      <c r="B181" s="11" t="str">
        <f t="shared" si="8"/>
        <v>NEW MEXICO ACTIVITIES ASSOCIATION</v>
      </c>
      <c r="C181" s="135">
        <f t="shared" si="6"/>
        <v>26789</v>
      </c>
      <c r="D181" s="137">
        <f t="shared" si="7"/>
        <v>1.9753949221046308E-4</v>
      </c>
      <c r="E181" s="158"/>
      <c r="F181" s="150">
        <f>VLOOKUP(A181,'OPEB Amounts_Report'!$A$10:$A$319,1,FALSE)</f>
        <v>2148</v>
      </c>
      <c r="G181" s="5">
        <f>VLOOKUP(A181,'Change in Proportion Calc'!$A$5:$A$311,1,FALSE)</f>
        <v>2148</v>
      </c>
      <c r="H181" s="87"/>
    </row>
    <row r="182" spans="1:8">
      <c r="A182" s="12">
        <v>1418</v>
      </c>
      <c r="B182" s="13" t="str">
        <f t="shared" si="8"/>
        <v>NEW MEXICO CONNECTIONS ACADEMY</v>
      </c>
      <c r="C182" s="136">
        <f t="shared" si="6"/>
        <v>142441</v>
      </c>
      <c r="D182" s="138">
        <f t="shared" si="7"/>
        <v>1.0503461424446814E-3</v>
      </c>
      <c r="E182" s="158"/>
      <c r="F182" s="150">
        <f>VLOOKUP(A182,'OPEB Amounts_Report'!$A$10:$A$319,1,FALSE)</f>
        <v>1418</v>
      </c>
      <c r="G182" s="5">
        <f>VLOOKUP(A182,'Change in Proportion Calc'!$A$5:$A$311,1,FALSE)</f>
        <v>1418</v>
      </c>
      <c r="H182" s="87"/>
    </row>
    <row r="183" spans="1:8">
      <c r="A183" s="10">
        <v>12102</v>
      </c>
      <c r="B183" s="11" t="str">
        <f t="shared" si="8"/>
        <v>NEW MEXICO HIGHLANDS UNIVERSITY</v>
      </c>
      <c r="C183" s="135">
        <f t="shared" si="6"/>
        <v>716618</v>
      </c>
      <c r="D183" s="137">
        <f t="shared" si="7"/>
        <v>5.2842717469438064E-3</v>
      </c>
      <c r="E183" s="158"/>
      <c r="F183" s="150">
        <f>VLOOKUP(A183,'OPEB Amounts_Report'!$A$10:$A$319,1,FALSE)</f>
        <v>12102</v>
      </c>
      <c r="G183" s="5">
        <f>VLOOKUP(A183,'Change in Proportion Calc'!$A$5:$A$311,1,FALSE)</f>
        <v>12102</v>
      </c>
      <c r="H183" s="87"/>
    </row>
    <row r="184" spans="1:8">
      <c r="A184" s="12">
        <v>2414</v>
      </c>
      <c r="B184" s="13" t="str">
        <f t="shared" si="8"/>
        <v>NEW MEXICO INTERNATIONAL SCHOOL</v>
      </c>
      <c r="C184" s="136">
        <f t="shared" si="6"/>
        <v>69755</v>
      </c>
      <c r="D184" s="138">
        <f t="shared" si="7"/>
        <v>5.1436661611634819E-4</v>
      </c>
      <c r="E184" s="158"/>
      <c r="F184" s="150">
        <f>VLOOKUP(A184,'OPEB Amounts_Report'!$A$10:$A$319,1,FALSE)</f>
        <v>2414</v>
      </c>
      <c r="G184" s="5">
        <f>VLOOKUP(A184,'Change in Proportion Calc'!$A$5:$A$311,1,FALSE)</f>
        <v>2414</v>
      </c>
      <c r="H184" s="87"/>
    </row>
    <row r="185" spans="1:8">
      <c r="A185" s="10">
        <v>6124</v>
      </c>
      <c r="B185" s="11" t="str">
        <f t="shared" si="8"/>
        <v>NEW MEXICO JUNIOR COLLEGE</v>
      </c>
      <c r="C185" s="135">
        <f t="shared" si="6"/>
        <v>413366</v>
      </c>
      <c r="D185" s="137">
        <f t="shared" si="7"/>
        <v>3.0481208606917124E-3</v>
      </c>
      <c r="E185" s="158"/>
      <c r="F185" s="150">
        <f>VLOOKUP(A185,'OPEB Amounts_Report'!$A$10:$A$319,1,FALSE)</f>
        <v>6124</v>
      </c>
      <c r="G185" s="5">
        <f>VLOOKUP(A185,'Change in Proportion Calc'!$A$5:$A$311,1,FALSE)</f>
        <v>6124</v>
      </c>
      <c r="H185" s="87"/>
    </row>
    <row r="186" spans="1:8">
      <c r="A186" s="12">
        <v>4097</v>
      </c>
      <c r="B186" s="43" t="str">
        <f t="shared" si="8"/>
        <v>NEW MEXICO MILITARY INSTITUTE</v>
      </c>
      <c r="C186" s="156">
        <f t="shared" si="6"/>
        <v>385881</v>
      </c>
      <c r="D186" s="140">
        <f t="shared" si="7"/>
        <v>2.8454491318700105E-3</v>
      </c>
      <c r="E186" s="158"/>
      <c r="F186" s="150">
        <f>VLOOKUP(A186,'OPEB Amounts_Report'!$A$10:$A$319,1,FALSE)</f>
        <v>4097</v>
      </c>
      <c r="G186" s="5">
        <f>VLOOKUP(A186,'Change in Proportion Calc'!$A$5:$A$311,1,FALSE)</f>
        <v>4097</v>
      </c>
      <c r="H186" s="87"/>
    </row>
    <row r="187" spans="1:8">
      <c r="A187" s="10">
        <v>1416</v>
      </c>
      <c r="B187" s="11" t="str">
        <f t="shared" si="8"/>
        <v>NEW MEXICO SCHOOL FOR THE ARTS</v>
      </c>
      <c r="C187" s="135">
        <f t="shared" si="6"/>
        <v>62977</v>
      </c>
      <c r="D187" s="137">
        <f t="shared" si="7"/>
        <v>4.6438630038218425E-4</v>
      </c>
      <c r="E187" s="158"/>
      <c r="F187" s="150">
        <f>VLOOKUP(A187,'OPEB Amounts_Report'!$A$10:$A$319,1,FALSE)</f>
        <v>1416</v>
      </c>
      <c r="G187" s="5">
        <f>VLOOKUP(A187,'Change in Proportion Calc'!$A$5:$A$311,1,FALSE)</f>
        <v>1416</v>
      </c>
      <c r="H187" s="87"/>
    </row>
    <row r="188" spans="1:8">
      <c r="A188" s="12">
        <v>1094</v>
      </c>
      <c r="B188" s="13" t="str">
        <f t="shared" si="8"/>
        <v>NEW MEXICO SCHOOL FOR THE DEAF</v>
      </c>
      <c r="C188" s="136">
        <f t="shared" si="6"/>
        <v>257995</v>
      </c>
      <c r="D188" s="138">
        <f t="shared" si="7"/>
        <v>1.9024301501675473E-3</v>
      </c>
      <c r="E188" s="158"/>
      <c r="F188" s="150">
        <f>VLOOKUP(A188,'OPEB Amounts_Report'!$A$10:$A$319,1,FALSE)</f>
        <v>1094</v>
      </c>
      <c r="G188" s="5">
        <f>VLOOKUP(A188,'Change in Proportion Calc'!$A$5:$A$311,1,FALSE)</f>
        <v>1094</v>
      </c>
      <c r="H188" s="87"/>
    </row>
    <row r="189" spans="1:8">
      <c r="A189" s="10">
        <v>15104</v>
      </c>
      <c r="B189" s="11" t="str">
        <f t="shared" si="8"/>
        <v>NM SCHOOL FOR THE BLIND &amp; VISUAL IMPAIRED</v>
      </c>
      <c r="C189" s="135">
        <f t="shared" si="6"/>
        <v>261064</v>
      </c>
      <c r="D189" s="137">
        <f t="shared" si="7"/>
        <v>1.9250606590179675E-3</v>
      </c>
      <c r="E189" s="158"/>
      <c r="F189" s="150">
        <f>VLOOKUP(A189,'OPEB Amounts_Report'!$A$10:$A$319,1,FALSE)</f>
        <v>15104</v>
      </c>
      <c r="G189" s="5">
        <f>VLOOKUP(A189,'Change in Proportion Calc'!$A$5:$A$311,1,FALSE)</f>
        <v>15104</v>
      </c>
      <c r="H189" s="87"/>
    </row>
    <row r="190" spans="1:8">
      <c r="A190" s="12">
        <v>2520</v>
      </c>
      <c r="B190" s="13" t="str">
        <f t="shared" si="8"/>
        <v>NORTH CENTRAL NEW MEXICO ECONOMIC DEVELOPMENT DISTRICT</v>
      </c>
      <c r="C190" s="136">
        <f t="shared" si="6"/>
        <v>53259</v>
      </c>
      <c r="D190" s="138">
        <f t="shared" si="7"/>
        <v>3.9272670930744159E-4</v>
      </c>
      <c r="E190" s="158"/>
      <c r="F190" s="150">
        <f>VLOOKUP(A190,'OPEB Amounts_Report'!$A$10:$A$319,1,FALSE)</f>
        <v>2520</v>
      </c>
      <c r="G190" s="5">
        <f>VLOOKUP(A190,'Change in Proportion Calc'!$A$5:$A$311,1,FALSE)</f>
        <v>2520</v>
      </c>
      <c r="H190" s="87"/>
    </row>
    <row r="191" spans="1:8">
      <c r="A191" s="10">
        <v>3450</v>
      </c>
      <c r="B191" s="11" t="str">
        <f t="shared" si="8"/>
        <v>NORTH CENTRAL REGIONAL TRANSIT DISTRICT</v>
      </c>
      <c r="C191" s="135">
        <f t="shared" si="6"/>
        <v>96190</v>
      </c>
      <c r="D191" s="137">
        <f t="shared" si="7"/>
        <v>7.0929574660212938E-4</v>
      </c>
      <c r="E191" s="158"/>
      <c r="F191" s="150">
        <f>VLOOKUP(A191,'OPEB Amounts_Report'!$A$10:$A$319,1,FALSE)</f>
        <v>3450</v>
      </c>
      <c r="G191" s="5">
        <f>VLOOKUP(A191,'Change in Proportion Calc'!$A$5:$A$311,1,FALSE)</f>
        <v>3450</v>
      </c>
      <c r="H191" s="87"/>
    </row>
    <row r="192" spans="1:8">
      <c r="A192" s="12">
        <v>4310</v>
      </c>
      <c r="B192" s="13" t="str">
        <f t="shared" si="8"/>
        <v>NORTH CENTRAL SOLID WASTE AUTHORITY</v>
      </c>
      <c r="C192" s="136">
        <f t="shared" si="6"/>
        <v>44839</v>
      </c>
      <c r="D192" s="138">
        <f t="shared" si="7"/>
        <v>3.3063844455653271E-4</v>
      </c>
      <c r="E192" s="158"/>
      <c r="F192" s="150">
        <f>VLOOKUP(A192,'OPEB Amounts_Report'!$A$10:$A$319,1,FALSE)</f>
        <v>4310</v>
      </c>
      <c r="G192" s="5">
        <f>VLOOKUP(A192,'Change in Proportion Calc'!$A$5:$A$311,1,FALSE)</f>
        <v>4310</v>
      </c>
      <c r="H192" s="87"/>
    </row>
    <row r="193" spans="1:8">
      <c r="A193" s="10">
        <v>2328</v>
      </c>
      <c r="B193" s="11" t="str">
        <f t="shared" si="8"/>
        <v>NORTH VALLEY ACADEMY</v>
      </c>
      <c r="C193" s="135">
        <f t="shared" si="6"/>
        <v>42003</v>
      </c>
      <c r="D193" s="137">
        <f t="shared" si="7"/>
        <v>3.0972605514636905E-4</v>
      </c>
      <c r="E193" s="158"/>
      <c r="F193" s="150">
        <f>VLOOKUP(A193,'OPEB Amounts_Report'!$A$10:$A$319,1,FALSE)</f>
        <v>2328</v>
      </c>
      <c r="G193" s="5">
        <f>VLOOKUP(A193,'Change in Proportion Calc'!$A$5:$A$311,1,FALSE)</f>
        <v>2328</v>
      </c>
      <c r="H193" s="87"/>
    </row>
    <row r="194" spans="1:8">
      <c r="A194" s="12">
        <v>12151</v>
      </c>
      <c r="B194" s="13" t="str">
        <f t="shared" si="8"/>
        <v>NORTHEAST REGIONAL EDUCATION COOPERATIVE #4</v>
      </c>
      <c r="C194" s="136">
        <f t="shared" si="6"/>
        <v>21097</v>
      </c>
      <c r="D194" s="138">
        <f t="shared" si="7"/>
        <v>1.5556723532659448E-4</v>
      </c>
      <c r="E194" s="158"/>
      <c r="F194" s="150">
        <f>VLOOKUP(A194,'OPEB Amounts_Report'!$A$10:$A$319,1,FALSE)</f>
        <v>12151</v>
      </c>
      <c r="G194" s="5">
        <f>VLOOKUP(A194,'Change in Proportion Calc'!$A$5:$A$311,1,FALSE)</f>
        <v>12151</v>
      </c>
      <c r="H194" s="87"/>
    </row>
    <row r="195" spans="1:8">
      <c r="A195" s="10">
        <v>17105</v>
      </c>
      <c r="B195" s="11" t="str">
        <f t="shared" si="8"/>
        <v>NORTHERN NEW MEXICO COMMUNITY COLLEGE</v>
      </c>
      <c r="C195" s="135">
        <f t="shared" si="6"/>
        <v>287947</v>
      </c>
      <c r="D195" s="137">
        <f t="shared" si="7"/>
        <v>2.1232932981270752E-3</v>
      </c>
      <c r="E195" s="158"/>
      <c r="F195" s="150">
        <f>VLOOKUP(A195,'OPEB Amounts_Report'!$A$10:$A$319,1,FALSE)</f>
        <v>17105</v>
      </c>
      <c r="G195" s="5">
        <f>VLOOKUP(A195,'Change in Proportion Calc'!$A$5:$A$311,1,FALSE)</f>
        <v>17105</v>
      </c>
      <c r="H195" s="87"/>
    </row>
    <row r="196" spans="1:8">
      <c r="A196" s="12">
        <v>4215</v>
      </c>
      <c r="B196" s="13" t="str">
        <f t="shared" si="8"/>
        <v>NORTHERN REGIONAL HOUSING AUTHORITY</v>
      </c>
      <c r="C196" s="136">
        <f t="shared" si="6"/>
        <v>35131</v>
      </c>
      <c r="D196" s="138">
        <f t="shared" si="7"/>
        <v>2.5905259251356074E-4</v>
      </c>
      <c r="E196" s="158"/>
      <c r="F196" s="150">
        <f>VLOOKUP(A196,'OPEB Amounts_Report'!$A$10:$A$319,1,FALSE)</f>
        <v>4215</v>
      </c>
      <c r="G196" s="5">
        <f>VLOOKUP(A196,'Change in Proportion Calc'!$A$5:$A$311,1,FALSE)</f>
        <v>4215</v>
      </c>
      <c r="H196" s="87"/>
    </row>
    <row r="197" spans="1:8">
      <c r="A197" s="10" t="s">
        <v>785</v>
      </c>
      <c r="B197" s="11" t="str">
        <f t="shared" si="8"/>
        <v>NORTHPOINT CHARTER SCHOOL (FORMERLY SOUTHWEST SECONDARY LEARNING CENTER)</v>
      </c>
      <c r="C197" s="135">
        <f t="shared" si="6"/>
        <v>22596</v>
      </c>
      <c r="D197" s="137">
        <f t="shared" si="7"/>
        <v>1.6662071618901876E-4</v>
      </c>
      <c r="E197" s="158"/>
      <c r="F197" s="150" t="str">
        <f>VLOOKUP(A197,'OPEB Amounts_Report'!$A$10:$A$319,1,FALSE)</f>
        <v>E2310</v>
      </c>
      <c r="G197" s="5" t="str">
        <f>VLOOKUP(A197,'Change in Proportion Calc'!$A$5:$A$311,1,FALSE)</f>
        <v>E2310</v>
      </c>
      <c r="H197" s="87"/>
    </row>
    <row r="198" spans="1:8">
      <c r="A198" s="12">
        <v>2870</v>
      </c>
      <c r="B198" s="13" t="str">
        <f t="shared" si="8"/>
        <v>NORTHWEST NEW MEXICO REGIONAL SOLID WASTE AUTHORITY</v>
      </c>
      <c r="C198" s="136">
        <f t="shared" si="6"/>
        <v>41507</v>
      </c>
      <c r="D198" s="138">
        <f t="shared" si="7"/>
        <v>3.0606859917054353E-4</v>
      </c>
      <c r="E198" s="158"/>
      <c r="F198" s="150">
        <f>VLOOKUP(A198,'OPEB Amounts_Report'!$A$10:$A$319,1,FALSE)</f>
        <v>2870</v>
      </c>
      <c r="G198" s="5">
        <f>VLOOKUP(A198,'Change in Proportion Calc'!$A$5:$A$311,1,FALSE)</f>
        <v>2870</v>
      </c>
      <c r="H198" s="87"/>
    </row>
    <row r="199" spans="1:8">
      <c r="A199" s="10">
        <v>29150</v>
      </c>
      <c r="B199" s="11" t="str">
        <f t="shared" si="8"/>
        <v>NORTHWEST REGIONAL EDUCATION COOPERATIVE #2</v>
      </c>
      <c r="C199" s="135">
        <f t="shared" si="6"/>
        <v>29795</v>
      </c>
      <c r="D199" s="137">
        <f t="shared" si="7"/>
        <v>2.1970544516072818E-4</v>
      </c>
      <c r="E199" s="158"/>
      <c r="F199" s="150">
        <f>VLOOKUP(A199,'OPEB Amounts_Report'!$A$10:$A$319,1,FALSE)</f>
        <v>29150</v>
      </c>
      <c r="G199" s="5">
        <f>VLOOKUP(A199,'Change in Proportion Calc'!$A$5:$A$311,1,FALSE)</f>
        <v>29150</v>
      </c>
      <c r="H199" s="87"/>
    </row>
    <row r="200" spans="1:8">
      <c r="A200" s="12">
        <v>3433</v>
      </c>
      <c r="B200" s="13" t="str">
        <f t="shared" si="8"/>
        <v>PECOS CYBER ACADEMY</v>
      </c>
      <c r="C200" s="136">
        <f t="shared" si="6"/>
        <v>219062</v>
      </c>
      <c r="D200" s="138">
        <f t="shared" si="7"/>
        <v>1.6153419777747756E-3</v>
      </c>
      <c r="E200" s="158"/>
      <c r="F200" s="150">
        <f>VLOOKUP(A200,'OPEB Amounts_Report'!$A$10:$A$319,1,FALSE)</f>
        <v>3433</v>
      </c>
      <c r="G200" s="5">
        <f>VLOOKUP(A200,'Change in Proportion Calc'!$A$5:$A$311,1,FALSE)</f>
        <v>3433</v>
      </c>
      <c r="H200" s="87"/>
    </row>
    <row r="201" spans="1:8">
      <c r="A201" s="10">
        <v>12039</v>
      </c>
      <c r="B201" s="11" t="str">
        <f t="shared" si="8"/>
        <v>PECOS INDEPENDENT SCHOOLS</v>
      </c>
      <c r="C201" s="135">
        <f t="shared" ref="C201:C264" si="9">+VLOOKUP(A201,$D$321:$F$628,3,FALSE)</f>
        <v>92885</v>
      </c>
      <c r="D201" s="137">
        <f t="shared" ref="D201:D264" si="10">+C201/$C$316</f>
        <v>6.8492499660192106E-4</v>
      </c>
      <c r="E201" s="158"/>
      <c r="F201" s="150">
        <f>VLOOKUP(A201,'OPEB Amounts_Report'!$A$10:$A$319,1,FALSE)</f>
        <v>12039</v>
      </c>
      <c r="G201" s="5">
        <f>VLOOKUP(A201,'Change in Proportion Calc'!$A$5:$A$311,1,FALSE)</f>
        <v>12039</v>
      </c>
      <c r="H201" s="87"/>
    </row>
    <row r="202" spans="1:8">
      <c r="A202" s="183">
        <v>12150</v>
      </c>
      <c r="B202" s="184" t="str">
        <f t="shared" si="8"/>
        <v>PECOS VALLEY REGIONAL EDUCATION COOPERATIVE #8</v>
      </c>
      <c r="C202" s="185">
        <f t="shared" si="9"/>
        <v>18559</v>
      </c>
      <c r="D202" s="186">
        <f t="shared" si="10"/>
        <v>1.3685226906319699E-4</v>
      </c>
      <c r="E202" s="158"/>
      <c r="F202" s="150">
        <f>VLOOKUP(A202,'OPEB Amounts_Report'!$A$10:$A$319,1,FALSE)</f>
        <v>12150</v>
      </c>
      <c r="G202" s="5">
        <f>VLOOKUP(A202,'Change in Proportion Calc'!$A$5:$A$311,1,FALSE)</f>
        <v>12150</v>
      </c>
      <c r="H202" s="87"/>
    </row>
    <row r="203" spans="1:8">
      <c r="A203" s="10">
        <v>20060</v>
      </c>
      <c r="B203" s="11" t="str">
        <f t="shared" ref="B203:B266" si="11">VLOOKUP(A203,$D$324:$E$628,2,FALSE)</f>
        <v>PENASCO INDEPENDENT SCHOOLS</v>
      </c>
      <c r="C203" s="135">
        <f t="shared" si="9"/>
        <v>76115</v>
      </c>
      <c r="D203" s="137">
        <f t="shared" si="10"/>
        <v>5.6126464032249794E-4</v>
      </c>
      <c r="E203" s="158"/>
      <c r="F203" s="150">
        <f>VLOOKUP(A203,'OPEB Amounts_Report'!$A$10:$A$319,1,FALSE)</f>
        <v>20060</v>
      </c>
      <c r="G203" s="5">
        <f>VLOOKUP(A203,'Change in Proportion Calc'!$A$5:$A$311,1,FALSE)</f>
        <v>20060</v>
      </c>
      <c r="H203" s="87"/>
    </row>
    <row r="204" spans="1:8">
      <c r="A204" s="12">
        <v>1001</v>
      </c>
      <c r="B204" s="13" t="str">
        <f t="shared" si="11"/>
        <v>POJOAQUE VALLEY SCHOOLS</v>
      </c>
      <c r="C204" s="136">
        <f t="shared" si="9"/>
        <v>297667</v>
      </c>
      <c r="D204" s="138">
        <f t="shared" si="10"/>
        <v>2.1949676370081718E-3</v>
      </c>
      <c r="E204" s="158"/>
      <c r="F204" s="150">
        <f>VLOOKUP(A204,'OPEB Amounts_Report'!$A$10:$A$319,1,FALSE)</f>
        <v>1001</v>
      </c>
      <c r="G204" s="5">
        <f>VLOOKUP(A204,'Change in Proportion Calc'!$A$5:$A$311,1,FALSE)</f>
        <v>1001</v>
      </c>
      <c r="H204" s="87"/>
    </row>
    <row r="205" spans="1:8">
      <c r="A205" s="10">
        <v>11035</v>
      </c>
      <c r="B205" s="11" t="str">
        <f t="shared" si="11"/>
        <v>PORTALES MUNICIPAL SCHOOLS</v>
      </c>
      <c r="C205" s="135">
        <f t="shared" si="9"/>
        <v>511161</v>
      </c>
      <c r="D205" s="137">
        <f t="shared" si="10"/>
        <v>3.7692517218930353E-3</v>
      </c>
      <c r="E205" s="158"/>
      <c r="F205" s="150">
        <f>VLOOKUP(A205,'OPEB Amounts_Report'!$A$10:$A$319,1,FALSE)</f>
        <v>11035</v>
      </c>
      <c r="G205" s="5">
        <f>VLOOKUP(A205,'Change in Proportion Calc'!$A$5:$A$311,1,FALSE)</f>
        <v>11035</v>
      </c>
      <c r="H205" s="87"/>
    </row>
    <row r="206" spans="1:8">
      <c r="A206" s="12">
        <v>2320</v>
      </c>
      <c r="B206" s="13" t="str">
        <f t="shared" si="11"/>
        <v>PUBLIC ACADEMY FOR THE PERFORMING ARTS</v>
      </c>
      <c r="C206" s="136">
        <f t="shared" si="9"/>
        <v>60070</v>
      </c>
      <c r="D206" s="138">
        <f t="shared" si="10"/>
        <v>4.429503638464488E-4</v>
      </c>
      <c r="E206" s="158"/>
      <c r="F206" s="150">
        <f>VLOOKUP(A206,'OPEB Amounts_Report'!$A$10:$A$319,1,FALSE)</f>
        <v>2320</v>
      </c>
      <c r="G206" s="5">
        <f>VLOOKUP(A206,'Change in Proportion Calc'!$A$5:$A$311,1,FALSE)</f>
        <v>2320</v>
      </c>
      <c r="H206" s="87"/>
    </row>
    <row r="207" spans="1:8">
      <c r="A207" s="10">
        <v>28084</v>
      </c>
      <c r="B207" s="11" t="str">
        <f t="shared" si="11"/>
        <v xml:space="preserve">QUEMADO INDEPENDENT SCHOOL DISTRICT </v>
      </c>
      <c r="C207" s="135">
        <f t="shared" si="9"/>
        <v>53571</v>
      </c>
      <c r="D207" s="137">
        <f t="shared" si="10"/>
        <v>3.9502736709868668E-4</v>
      </c>
      <c r="E207" s="158"/>
      <c r="F207" s="150">
        <f>VLOOKUP(A207,'OPEB Amounts_Report'!$A$10:$A$319,1,FALSE)</f>
        <v>28084</v>
      </c>
      <c r="G207" s="5">
        <f>VLOOKUP(A207,'Change in Proportion Calc'!$A$5:$A$311,1,FALSE)</f>
        <v>28084</v>
      </c>
      <c r="H207" s="87"/>
    </row>
    <row r="208" spans="1:8">
      <c r="A208" s="12">
        <v>20125</v>
      </c>
      <c r="B208" s="13" t="str">
        <f t="shared" si="11"/>
        <v>QUESTA INDEPENDENT SCHOOLS</v>
      </c>
      <c r="C208" s="136">
        <f t="shared" si="9"/>
        <v>74453</v>
      </c>
      <c r="D208" s="138">
        <f t="shared" si="10"/>
        <v>5.4900921324221169E-4</v>
      </c>
      <c r="E208" s="158"/>
      <c r="F208" s="150">
        <f>VLOOKUP(A208,'OPEB Amounts_Report'!$A$10:$A$319,1,FALSE)</f>
        <v>20125</v>
      </c>
      <c r="G208" s="5">
        <f>VLOOKUP(A208,'Change in Proportion Calc'!$A$5:$A$311,1,FALSE)</f>
        <v>20125</v>
      </c>
      <c r="H208" s="87"/>
    </row>
    <row r="209" spans="1:8">
      <c r="A209" s="10">
        <v>7445</v>
      </c>
      <c r="B209" s="11" t="str">
        <f t="shared" si="11"/>
        <v>RAICES DEL SABER XINACHTLI COMMUNITY SCHOOL</v>
      </c>
      <c r="C209" s="135">
        <f t="shared" si="9"/>
        <v>29251</v>
      </c>
      <c r="D209" s="137">
        <f t="shared" si="10"/>
        <v>2.1569404183240343E-4</v>
      </c>
      <c r="E209" s="158"/>
      <c r="F209" s="150">
        <f>VLOOKUP(A209,'OPEB Amounts_Report'!$A$10:$A$319,1,FALSE)</f>
        <v>7445</v>
      </c>
      <c r="G209" s="5">
        <f>VLOOKUP(A209,'Change in Proportion Calc'!$A$5:$A$311,1,FALSE)</f>
        <v>7445</v>
      </c>
      <c r="H209" s="87"/>
    </row>
    <row r="210" spans="1:8">
      <c r="A210" s="12">
        <v>9029</v>
      </c>
      <c r="B210" s="13" t="str">
        <f t="shared" si="11"/>
        <v>RATON PUBLIC SCHOOLS</v>
      </c>
      <c r="C210" s="136">
        <f t="shared" si="9"/>
        <v>155298</v>
      </c>
      <c r="D210" s="138">
        <f t="shared" si="10"/>
        <v>1.1451524155922392E-3</v>
      </c>
      <c r="E210" s="158"/>
      <c r="F210" s="150">
        <f>VLOOKUP(A210,'OPEB Amounts_Report'!$A$10:$A$319,1,FALSE)</f>
        <v>9029</v>
      </c>
      <c r="G210" s="5">
        <f>VLOOKUP(A210,'Change in Proportion Calc'!$A$5:$A$311,1,FALSE)</f>
        <v>9029</v>
      </c>
      <c r="H210" s="87"/>
    </row>
    <row r="211" spans="1:8">
      <c r="A211" s="10">
        <v>2580</v>
      </c>
      <c r="B211" s="11" t="str">
        <f t="shared" si="11"/>
        <v>RATON PUBLIC SERVICE</v>
      </c>
      <c r="C211" s="135">
        <f t="shared" si="9"/>
        <v>19645</v>
      </c>
      <c r="D211" s="137">
        <f t="shared" si="10"/>
        <v>1.4486032791349239E-4</v>
      </c>
      <c r="E211" s="158"/>
      <c r="F211" s="150">
        <f>VLOOKUP(A211,'OPEB Amounts_Report'!$A$10:$A$319,1,FALSE)</f>
        <v>2580</v>
      </c>
      <c r="G211" s="5">
        <f>VLOOKUP(A211,'Change in Proportion Calc'!$A$5:$A$311,1,FALSE)</f>
        <v>2580</v>
      </c>
      <c r="H211" s="87"/>
    </row>
    <row r="212" spans="1:8">
      <c r="A212" s="12">
        <v>20312</v>
      </c>
      <c r="B212" s="13" t="str">
        <f t="shared" si="11"/>
        <v>RED RIVER VALLEY CHARTER SCHOOL</v>
      </c>
      <c r="C212" s="136">
        <f t="shared" si="9"/>
        <v>15756</v>
      </c>
      <c r="D212" s="138">
        <f t="shared" si="10"/>
        <v>1.1618321845787661E-4</v>
      </c>
      <c r="E212" s="158"/>
      <c r="F212" s="150">
        <f>VLOOKUP(A212,'OPEB Amounts_Report'!$A$10:$A$319,1,FALSE)</f>
        <v>20312</v>
      </c>
      <c r="G212" s="5">
        <f>VLOOKUP(A212,'Change in Proportion Calc'!$A$5:$A$311,1,FALSE)</f>
        <v>20312</v>
      </c>
      <c r="H212" s="87"/>
    </row>
    <row r="213" spans="1:8">
      <c r="A213" s="10">
        <v>26150</v>
      </c>
      <c r="B213" s="11" t="str">
        <f t="shared" si="11"/>
        <v>REGION IX EDUCATION COOPERATIVE</v>
      </c>
      <c r="C213" s="135">
        <f t="shared" si="9"/>
        <v>129778</v>
      </c>
      <c r="D213" s="137">
        <f t="shared" si="10"/>
        <v>9.5697040651347481E-4</v>
      </c>
      <c r="E213" s="158"/>
      <c r="F213" s="150">
        <f>VLOOKUP(A213,'OPEB Amounts_Report'!$A$10:$A$319,1,FALSE)</f>
        <v>26150</v>
      </c>
      <c r="G213" s="5">
        <f>VLOOKUP(A213,'Change in Proportion Calc'!$A$5:$A$311,1,FALSE)</f>
        <v>26150</v>
      </c>
      <c r="H213" s="87"/>
    </row>
    <row r="214" spans="1:8">
      <c r="A214" s="12">
        <v>5016</v>
      </c>
      <c r="B214" s="13" t="str">
        <f t="shared" si="11"/>
        <v>REGIONAL EDUCATION COOPERATIVE #6</v>
      </c>
      <c r="C214" s="136">
        <f t="shared" si="9"/>
        <v>16139</v>
      </c>
      <c r="D214" s="138">
        <f t="shared" si="10"/>
        <v>1.1900742337469348E-4</v>
      </c>
      <c r="E214" s="158"/>
      <c r="F214" s="150">
        <f>VLOOKUP(A214,'OPEB Amounts_Report'!$A$10:$A$319,1,FALSE)</f>
        <v>5016</v>
      </c>
      <c r="G214" s="5">
        <f>VLOOKUP(A214,'Change in Proportion Calc'!$A$5:$A$311,1,FALSE)</f>
        <v>5016</v>
      </c>
      <c r="H214" s="87"/>
    </row>
    <row r="215" spans="1:8">
      <c r="A215" s="10">
        <v>6150</v>
      </c>
      <c r="B215" s="11" t="str">
        <f t="shared" si="11"/>
        <v>REGIONAL EDUCATION COOPERATIVE VII</v>
      </c>
      <c r="C215" s="135">
        <f t="shared" si="9"/>
        <v>12186</v>
      </c>
      <c r="D215" s="137">
        <f t="shared" si="10"/>
        <v>8.9858384115745388E-5</v>
      </c>
      <c r="E215" s="158"/>
      <c r="F215" s="150">
        <f>VLOOKUP(A215,'OPEB Amounts_Report'!$A$10:$A$319,1,FALSE)</f>
        <v>6150</v>
      </c>
      <c r="G215" s="5">
        <f>VLOOKUP(A215,'Change in Proportion Calc'!$A$5:$A$311,1,FALSE)</f>
        <v>6150</v>
      </c>
      <c r="H215" s="87"/>
    </row>
    <row r="216" spans="1:8">
      <c r="A216" s="12">
        <v>4480</v>
      </c>
      <c r="B216" s="13" t="str">
        <f t="shared" si="11"/>
        <v>REGIONAL EMERGENCY DISPATCH AUTHORITY</v>
      </c>
      <c r="C216" s="136">
        <f t="shared" si="9"/>
        <v>23106</v>
      </c>
      <c r="D216" s="138">
        <f t="shared" si="10"/>
        <v>1.7038140680932323E-4</v>
      </c>
      <c r="E216" s="158"/>
      <c r="F216" s="150">
        <f>VLOOKUP(A216,'OPEB Amounts_Report'!$A$10:$A$319,1,FALSE)</f>
        <v>4480</v>
      </c>
      <c r="G216" s="5">
        <f>VLOOKUP(A216,'Change in Proportion Calc'!$A$5:$A$311,1,FALSE)</f>
        <v>4480</v>
      </c>
      <c r="H216" s="87"/>
    </row>
    <row r="217" spans="1:8">
      <c r="A217" s="10">
        <v>28085</v>
      </c>
      <c r="B217" s="11" t="str">
        <f t="shared" si="11"/>
        <v>RESERVE SCHOOL DISTRICT</v>
      </c>
      <c r="C217" s="135">
        <f t="shared" si="9"/>
        <v>41747</v>
      </c>
      <c r="D217" s="137">
        <f t="shared" si="10"/>
        <v>3.0783833593303974E-4</v>
      </c>
      <c r="E217" s="158"/>
      <c r="F217" s="150">
        <f>VLOOKUP(A217,'OPEB Amounts_Report'!$A$10:$A$319,1,FALSE)</f>
        <v>28085</v>
      </c>
      <c r="G217" s="5">
        <f>VLOOKUP(A217,'Change in Proportion Calc'!$A$5:$A$311,1,FALSE)</f>
        <v>28085</v>
      </c>
      <c r="H217" s="87"/>
    </row>
    <row r="218" spans="1:8">
      <c r="A218" s="12">
        <v>3240</v>
      </c>
      <c r="B218" s="13" t="str">
        <f t="shared" si="11"/>
        <v>RIO ARRIBA COUNTY</v>
      </c>
      <c r="C218" s="136">
        <f t="shared" si="9"/>
        <v>263088</v>
      </c>
      <c r="D218" s="138">
        <f t="shared" si="10"/>
        <v>1.9399854390483523E-3</v>
      </c>
      <c r="E218" s="158"/>
      <c r="F218" s="150">
        <f>VLOOKUP(A218,'OPEB Amounts_Report'!$A$10:$A$319,1,FALSE)</f>
        <v>3240</v>
      </c>
      <c r="G218" s="5">
        <f>VLOOKUP(A218,'Change in Proportion Calc'!$A$5:$A$311,1,FALSE)</f>
        <v>3240</v>
      </c>
      <c r="H218" s="87"/>
    </row>
    <row r="219" spans="1:8">
      <c r="A219" s="10">
        <v>12326</v>
      </c>
      <c r="B219" s="11" t="str">
        <f t="shared" si="11"/>
        <v>RIO GALLINAS CHARTER SCHOOL</v>
      </c>
      <c r="C219" s="135">
        <f t="shared" si="9"/>
        <v>17450</v>
      </c>
      <c r="D219" s="137">
        <f t="shared" si="10"/>
        <v>1.2867461043982906E-4</v>
      </c>
      <c r="E219" s="158"/>
      <c r="F219" s="150">
        <f>VLOOKUP(A219,'OPEB Amounts_Report'!$A$10:$A$319,1,FALSE)</f>
        <v>12326</v>
      </c>
      <c r="G219" s="5">
        <f>VLOOKUP(A219,'Change in Proportion Calc'!$A$5:$A$311,1,FALSE)</f>
        <v>12326</v>
      </c>
      <c r="H219" s="87"/>
    </row>
    <row r="220" spans="1:8">
      <c r="A220" s="12">
        <v>2445</v>
      </c>
      <c r="B220" s="13" t="str">
        <f t="shared" si="11"/>
        <v>RIO GRANDE ACADEMY OF FINE ARTS</v>
      </c>
      <c r="C220" s="136">
        <f t="shared" si="9"/>
        <v>27317</v>
      </c>
      <c r="D220" s="138">
        <f t="shared" si="10"/>
        <v>2.0143291308795475E-4</v>
      </c>
      <c r="E220" s="158"/>
      <c r="F220" s="150">
        <f>VLOOKUP(A220,'OPEB Amounts_Report'!$A$10:$A$319,1,FALSE)</f>
        <v>2445</v>
      </c>
      <c r="G220" s="5">
        <f>VLOOKUP(A220,'Change in Proportion Calc'!$A$5:$A$311,1,FALSE)</f>
        <v>2445</v>
      </c>
      <c r="H220" s="87"/>
    </row>
    <row r="221" spans="1:8">
      <c r="A221" s="10">
        <v>29123</v>
      </c>
      <c r="B221" s="11" t="str">
        <f t="shared" si="11"/>
        <v>RIO RANCHO PUBLIC SCHOOLS</v>
      </c>
      <c r="C221" s="135">
        <f t="shared" si="9"/>
        <v>3052297</v>
      </c>
      <c r="D221" s="137">
        <f t="shared" si="10"/>
        <v>2.2507342545653806E-2</v>
      </c>
      <c r="E221" s="158"/>
      <c r="F221" s="150">
        <f>VLOOKUP(A221,'OPEB Amounts_Report'!$A$10:$A$319,1,FALSE)</f>
        <v>29123</v>
      </c>
      <c r="G221" s="5">
        <f>VLOOKUP(A221,'Change in Proportion Calc'!$A$5:$A$311,1,FALSE)</f>
        <v>29123</v>
      </c>
      <c r="H221" s="87"/>
    </row>
    <row r="222" spans="1:8">
      <c r="A222" s="12">
        <v>2318</v>
      </c>
      <c r="B222" s="13" t="str">
        <f t="shared" si="11"/>
        <v>ROBERT F. KENNEDY CHARTER SCHOOL</v>
      </c>
      <c r="C222" s="136">
        <f t="shared" si="9"/>
        <v>58439</v>
      </c>
      <c r="D222" s="138">
        <f t="shared" si="10"/>
        <v>4.3092352776465164E-4</v>
      </c>
      <c r="E222" s="158"/>
      <c r="F222" s="150">
        <f>VLOOKUP(A222,'OPEB Amounts_Report'!$A$10:$A$319,1,FALSE)</f>
        <v>2318</v>
      </c>
      <c r="G222" s="5">
        <f>VLOOKUP(A222,'Change in Proportion Calc'!$A$5:$A$311,1,FALSE)</f>
        <v>2318</v>
      </c>
      <c r="H222" s="87"/>
    </row>
    <row r="223" spans="1:8">
      <c r="A223" s="10">
        <v>3250</v>
      </c>
      <c r="B223" s="11" t="str">
        <f t="shared" si="11"/>
        <v>ROOSEVELT COUNTY</v>
      </c>
      <c r="C223" s="135">
        <f t="shared" si="9"/>
        <v>87699</v>
      </c>
      <c r="D223" s="137">
        <f t="shared" si="10"/>
        <v>6.4668393472564866E-4</v>
      </c>
      <c r="E223" s="158"/>
      <c r="F223" s="150">
        <f>VLOOKUP(A223,'OPEB Amounts_Report'!$A$10:$A$319,1,FALSE)</f>
        <v>3250</v>
      </c>
      <c r="G223" s="5">
        <f>VLOOKUP(A223,'Change in Proportion Calc'!$A$5:$A$311,1,FALSE)</f>
        <v>3250</v>
      </c>
      <c r="H223" s="87"/>
    </row>
    <row r="224" spans="1:8">
      <c r="A224" s="12">
        <v>2313</v>
      </c>
      <c r="B224" s="13" t="str">
        <f t="shared" si="11"/>
        <v>ROOTS AND WINGS COMMUNITY SCHOOL</v>
      </c>
      <c r="C224" s="136">
        <f t="shared" si="9"/>
        <v>11570</v>
      </c>
      <c r="D224" s="138">
        <f t="shared" si="10"/>
        <v>8.531605975867176E-5</v>
      </c>
      <c r="E224" s="158"/>
      <c r="F224" s="150">
        <f>VLOOKUP(A224,'OPEB Amounts_Report'!$A$10:$A$319,1,FALSE)</f>
        <v>2313</v>
      </c>
      <c r="G224" s="5">
        <f>VLOOKUP(A224,'Change in Proportion Calc'!$A$5:$A$311,1,FALSE)</f>
        <v>2313</v>
      </c>
      <c r="H224" s="87"/>
    </row>
    <row r="225" spans="1:8">
      <c r="A225" s="10">
        <v>4011</v>
      </c>
      <c r="B225" s="11" t="str">
        <f t="shared" si="11"/>
        <v>ROSWELL INDEPENDENT SCHOOLS</v>
      </c>
      <c r="C225" s="135">
        <f t="shared" si="9"/>
        <v>1740314</v>
      </c>
      <c r="D225" s="137">
        <f t="shared" si="10"/>
        <v>1.2832906933695168E-2</v>
      </c>
      <c r="E225" s="158"/>
      <c r="F225" s="150">
        <f>VLOOKUP(A225,'OPEB Amounts_Report'!$A$10:$A$319,1,FALSE)</f>
        <v>4011</v>
      </c>
      <c r="G225" s="5">
        <f>VLOOKUP(A225,'Change in Proportion Calc'!$A$5:$A$311,1,FALSE)</f>
        <v>4011</v>
      </c>
      <c r="H225" s="87"/>
    </row>
    <row r="226" spans="1:8">
      <c r="A226" s="12">
        <v>31092</v>
      </c>
      <c r="B226" s="13" t="str">
        <f t="shared" si="11"/>
        <v>ROY SCHOOLS</v>
      </c>
      <c r="C226" s="136">
        <f t="shared" si="9"/>
        <v>28099</v>
      </c>
      <c r="D226" s="138">
        <f t="shared" si="10"/>
        <v>2.0719930537242161E-4</v>
      </c>
      <c r="E226" s="158"/>
      <c r="F226" s="150">
        <f>VLOOKUP(A226,'OPEB Amounts_Report'!$A$10:$A$319,1,FALSE)</f>
        <v>31092</v>
      </c>
      <c r="G226" s="5">
        <f>VLOOKUP(A226,'Change in Proportion Calc'!$A$5:$A$311,1,FALSE)</f>
        <v>31092</v>
      </c>
      <c r="H226" s="87"/>
    </row>
    <row r="227" spans="1:8">
      <c r="A227" s="10">
        <v>26081</v>
      </c>
      <c r="B227" s="11" t="str">
        <f t="shared" si="11"/>
        <v>RUIDOSO MUNICIPAL SCHOOLS</v>
      </c>
      <c r="C227" s="135">
        <f t="shared" si="9"/>
        <v>299537</v>
      </c>
      <c r="D227" s="137">
        <f t="shared" si="10"/>
        <v>2.2087568359492882E-3</v>
      </c>
      <c r="E227" s="158"/>
      <c r="F227" s="150">
        <f>VLOOKUP(A227,'OPEB Amounts_Report'!$A$10:$A$319,1,FALSE)</f>
        <v>26081</v>
      </c>
      <c r="G227" s="5">
        <f>VLOOKUP(A227,'Change in Proportion Calc'!$A$5:$A$311,1,FALSE)</f>
        <v>26081</v>
      </c>
      <c r="H227" s="87"/>
    </row>
    <row r="228" spans="1:8">
      <c r="A228" s="12">
        <v>29305</v>
      </c>
      <c r="B228" s="13" t="str">
        <f t="shared" si="11"/>
        <v>SAN DIEGO RIVERSIDE CHARTER SCHOOL</v>
      </c>
      <c r="C228" s="136">
        <f t="shared" si="9"/>
        <v>16184</v>
      </c>
      <c r="D228" s="138">
        <f t="shared" si="10"/>
        <v>1.1933924901766153E-4</v>
      </c>
      <c r="E228" s="158"/>
      <c r="F228" s="150">
        <f>VLOOKUP(A228,'OPEB Amounts_Report'!$A$10:$A$319,1,FALSE)</f>
        <v>29305</v>
      </c>
      <c r="G228" s="5">
        <f>VLOOKUP(A228,'Change in Proportion Calc'!$A$5:$A$311,1,FALSE)</f>
        <v>29305</v>
      </c>
      <c r="H228" s="87"/>
    </row>
    <row r="229" spans="1:8">
      <c r="A229" s="10">
        <v>10032</v>
      </c>
      <c r="B229" s="11" t="str">
        <f t="shared" si="11"/>
        <v>SAN JON MUNICIPAL SCHOOLS</v>
      </c>
      <c r="C229" s="135">
        <f t="shared" si="9"/>
        <v>38180</v>
      </c>
      <c r="D229" s="137">
        <f t="shared" si="10"/>
        <v>2.8153562330043977E-4</v>
      </c>
      <c r="E229" s="158"/>
      <c r="F229" s="150">
        <f>VLOOKUP(A229,'OPEB Amounts_Report'!$A$10:$A$319,1,FALSE)</f>
        <v>10032</v>
      </c>
      <c r="G229" s="5">
        <f>VLOOKUP(A229,'Change in Proportion Calc'!$A$5:$A$311,1,FALSE)</f>
        <v>10032</v>
      </c>
      <c r="H229" s="87"/>
    </row>
    <row r="230" spans="1:8">
      <c r="A230" s="12">
        <v>32107</v>
      </c>
      <c r="B230" s="13" t="str">
        <f t="shared" si="11"/>
        <v>SAN JUAN COMMUNICATIONS</v>
      </c>
      <c r="C230" s="136">
        <f t="shared" si="9"/>
        <v>48719</v>
      </c>
      <c r="D230" s="138">
        <f t="shared" si="10"/>
        <v>3.5924918888355486E-4</v>
      </c>
      <c r="E230" s="158"/>
      <c r="F230" s="150">
        <f>VLOOKUP(A230,'OPEB Amounts_Report'!$A$10:$A$319,1,FALSE)</f>
        <v>32107</v>
      </c>
      <c r="G230" s="5">
        <f>VLOOKUP(A230,'Change in Proportion Calc'!$A$5:$A$311,1,FALSE)</f>
        <v>32107</v>
      </c>
      <c r="H230" s="87"/>
    </row>
    <row r="231" spans="1:8">
      <c r="A231" s="10">
        <v>3260</v>
      </c>
      <c r="B231" s="11" t="str">
        <f t="shared" si="11"/>
        <v>SAN JUAN COUNTY</v>
      </c>
      <c r="C231" s="135">
        <f t="shared" si="9"/>
        <v>729198</v>
      </c>
      <c r="D231" s="137">
        <f t="shared" si="10"/>
        <v>5.3770354489113166E-3</v>
      </c>
      <c r="E231" s="158"/>
      <c r="F231" s="150">
        <f>VLOOKUP(A231,'OPEB Amounts_Report'!$A$10:$A$319,1,FALSE)</f>
        <v>3260</v>
      </c>
      <c r="G231" s="5">
        <f>VLOOKUP(A231,'Change in Proportion Calc'!$A$5:$A$311,1,FALSE)</f>
        <v>3260</v>
      </c>
      <c r="H231" s="87"/>
    </row>
    <row r="232" spans="1:8">
      <c r="A232" s="12">
        <v>4390</v>
      </c>
      <c r="B232" s="13" t="str">
        <f t="shared" si="11"/>
        <v>SAN JUAN WATER COMMISSION</v>
      </c>
      <c r="C232" s="136">
        <f t="shared" si="9"/>
        <v>8751</v>
      </c>
      <c r="D232" s="138">
        <f t="shared" si="10"/>
        <v>6.4529026702518294E-5</v>
      </c>
      <c r="E232" s="158"/>
      <c r="F232" s="150">
        <f>VLOOKUP(A232,'OPEB Amounts_Report'!$A$10:$A$319,1,FALSE)</f>
        <v>4390</v>
      </c>
      <c r="G232" s="5">
        <f>VLOOKUP(A232,'Change in Proportion Calc'!$A$5:$A$311,1,FALSE)</f>
        <v>4390</v>
      </c>
      <c r="H232" s="87"/>
    </row>
    <row r="233" spans="1:8">
      <c r="A233" s="10">
        <v>3270</v>
      </c>
      <c r="B233" s="11" t="str">
        <f t="shared" si="11"/>
        <v>SAN MIGUEL COUNTY</v>
      </c>
      <c r="C233" s="135">
        <f t="shared" si="9"/>
        <v>111338</v>
      </c>
      <c r="D233" s="137">
        <f t="shared" si="10"/>
        <v>8.2099563192834888E-4</v>
      </c>
      <c r="E233" s="158"/>
      <c r="F233" s="150">
        <f>VLOOKUP(A233,'OPEB Amounts_Report'!$A$10:$A$319,1,FALSE)</f>
        <v>3270</v>
      </c>
      <c r="G233" s="5">
        <f>VLOOKUP(A233,'Change in Proportion Calc'!$A$5:$A$311,1,FALSE)</f>
        <v>3270</v>
      </c>
      <c r="H233" s="87"/>
    </row>
    <row r="234" spans="1:8">
      <c r="A234" s="12">
        <v>29303</v>
      </c>
      <c r="B234" s="13" t="str">
        <f t="shared" si="11"/>
        <v>SANDOVAL ACADEMY OF BILINGUAL EDUCATION</v>
      </c>
      <c r="C234" s="136">
        <f t="shared" si="9"/>
        <v>32257</v>
      </c>
      <c r="D234" s="138">
        <f t="shared" si="10"/>
        <v>2.3785999478266855E-4</v>
      </c>
      <c r="E234" s="158"/>
      <c r="F234" s="150">
        <f>VLOOKUP(A234,'OPEB Amounts_Report'!$A$10:$A$319,1,FALSE)</f>
        <v>29303</v>
      </c>
      <c r="G234" s="5">
        <f>VLOOKUP(A234,'Change in Proportion Calc'!$A$5:$A$311,1,FALSE)</f>
        <v>29303</v>
      </c>
      <c r="H234" s="87"/>
    </row>
    <row r="235" spans="1:8">
      <c r="A235" s="10">
        <v>3280</v>
      </c>
      <c r="B235" s="11" t="str">
        <f t="shared" si="11"/>
        <v>SANDOVAL COUNTY</v>
      </c>
      <c r="C235" s="135">
        <f t="shared" si="9"/>
        <v>572187</v>
      </c>
      <c r="D235" s="137">
        <f t="shared" si="10"/>
        <v>4.2192515371767608E-3</v>
      </c>
      <c r="E235" s="158"/>
      <c r="F235" s="150">
        <f>VLOOKUP(A235,'OPEB Amounts_Report'!$A$10:$A$319,1,FALSE)</f>
        <v>3280</v>
      </c>
      <c r="G235" s="5">
        <f>VLOOKUP(A235,'Change in Proportion Calc'!$A$5:$A$311,1,FALSE)</f>
        <v>3280</v>
      </c>
      <c r="H235" s="87"/>
    </row>
    <row r="236" spans="1:8">
      <c r="A236" s="12">
        <v>4260</v>
      </c>
      <c r="B236" s="13" t="str">
        <f t="shared" si="11"/>
        <v>SANTA FE CIVIC HOUSING AUTHORITY</v>
      </c>
      <c r="C236" s="136">
        <f t="shared" si="9"/>
        <v>41686</v>
      </c>
      <c r="D236" s="138">
        <f t="shared" si="10"/>
        <v>3.0738852783923865E-4</v>
      </c>
      <c r="E236" s="158"/>
      <c r="F236" s="150">
        <f>VLOOKUP(A236,'OPEB Amounts_Report'!$A$10:$A$319,1,FALSE)</f>
        <v>4260</v>
      </c>
      <c r="G236" s="5">
        <f>VLOOKUP(A236,'Change in Proportion Calc'!$A$5:$A$311,1,FALSE)</f>
        <v>4260</v>
      </c>
      <c r="H236" s="87"/>
    </row>
    <row r="237" spans="1:8">
      <c r="A237" s="10">
        <v>1003</v>
      </c>
      <c r="B237" s="11" t="str">
        <f t="shared" si="11"/>
        <v>SANTA FE COMMUNITY COLLEGE</v>
      </c>
      <c r="C237" s="135">
        <f t="shared" si="9"/>
        <v>621939</v>
      </c>
      <c r="D237" s="137">
        <f t="shared" si="10"/>
        <v>4.586117968042226E-3</v>
      </c>
      <c r="E237" s="158"/>
      <c r="F237" s="150">
        <f>VLOOKUP(A237,'OPEB Amounts_Report'!$A$10:$A$319,1,FALSE)</f>
        <v>1003</v>
      </c>
      <c r="G237" s="5">
        <f>VLOOKUP(A237,'Change in Proportion Calc'!$A$5:$A$311,1,FALSE)</f>
        <v>1003</v>
      </c>
      <c r="H237" s="87"/>
    </row>
    <row r="238" spans="1:8">
      <c r="A238" s="12">
        <v>3290</v>
      </c>
      <c r="B238" s="13" t="str">
        <f t="shared" si="11"/>
        <v>SANTA FE COUNTY</v>
      </c>
      <c r="C238" s="136">
        <f t="shared" si="9"/>
        <v>1315936</v>
      </c>
      <c r="D238" s="138">
        <f t="shared" si="10"/>
        <v>9.703584651217588E-3</v>
      </c>
      <c r="E238" s="158"/>
      <c r="F238" s="150">
        <f>VLOOKUP(A238,'OPEB Amounts_Report'!$A$10:$A$319,1,FALSE)</f>
        <v>3290</v>
      </c>
      <c r="G238" s="5">
        <f>VLOOKUP(A238,'Change in Proportion Calc'!$A$5:$A$311,1,FALSE)</f>
        <v>3290</v>
      </c>
      <c r="H238" s="87"/>
    </row>
    <row r="239" spans="1:8">
      <c r="A239" s="10">
        <v>1002</v>
      </c>
      <c r="B239" s="11" t="str">
        <f t="shared" si="11"/>
        <v>SANTA FE PUBLIC SCHOOLS</v>
      </c>
      <c r="C239" s="135">
        <f t="shared" si="9"/>
        <v>1973340</v>
      </c>
      <c r="D239" s="137">
        <f t="shared" si="10"/>
        <v>1.4551218095434516E-2</v>
      </c>
      <c r="E239" s="158"/>
      <c r="F239" s="150">
        <f>VLOOKUP(A239,'OPEB Amounts_Report'!$A$10:$A$319,1,FALSE)</f>
        <v>1002</v>
      </c>
      <c r="G239" s="5">
        <f>VLOOKUP(A239,'Change in Proportion Calc'!$A$5:$A$311,1,FALSE)</f>
        <v>1002</v>
      </c>
      <c r="H239" s="87"/>
    </row>
    <row r="240" spans="1:8">
      <c r="A240" s="12">
        <v>4270</v>
      </c>
      <c r="B240" s="13" t="str">
        <f t="shared" si="11"/>
        <v>SANTA FE SOLID WASTE MANAGEMENT AGENCY</v>
      </c>
      <c r="C240" s="136">
        <f t="shared" si="9"/>
        <v>47015</v>
      </c>
      <c r="D240" s="138">
        <f t="shared" si="10"/>
        <v>3.4668405786983169E-4</v>
      </c>
      <c r="E240" s="158"/>
      <c r="F240" s="150">
        <f>VLOOKUP(A240,'OPEB Amounts_Report'!$A$10:$A$319,1,FALSE)</f>
        <v>4270</v>
      </c>
      <c r="G240" s="5">
        <f>VLOOKUP(A240,'Change in Proportion Calc'!$A$5:$A$311,1,FALSE)</f>
        <v>4270</v>
      </c>
      <c r="H240" s="87"/>
    </row>
    <row r="241" spans="1:8">
      <c r="A241" s="10">
        <v>24072</v>
      </c>
      <c r="B241" s="11" t="str">
        <f t="shared" si="11"/>
        <v>SANTA ROSA CONSOLIDATED SCHOOLS</v>
      </c>
      <c r="C241" s="135">
        <f t="shared" si="9"/>
        <v>153908</v>
      </c>
      <c r="D241" s="137">
        <f t="shared" si="10"/>
        <v>1.1349026901761152E-3</v>
      </c>
      <c r="E241" s="158"/>
      <c r="F241" s="150">
        <f>VLOOKUP(A241,'OPEB Amounts_Report'!$A$10:$A$319,1,FALSE)</f>
        <v>24072</v>
      </c>
      <c r="G241" s="5">
        <f>VLOOKUP(A241,'Change in Proportion Calc'!$A$5:$A$311,1,FALSE)</f>
        <v>24072</v>
      </c>
      <c r="H241" s="87"/>
    </row>
    <row r="242" spans="1:8">
      <c r="A242" s="12">
        <v>14366</v>
      </c>
      <c r="B242" s="13" t="str">
        <f t="shared" si="11"/>
        <v>SCHOOL OF DREAMS ACADEMY</v>
      </c>
      <c r="C242" s="136">
        <f t="shared" si="9"/>
        <v>102722</v>
      </c>
      <c r="D242" s="138">
        <f t="shared" si="10"/>
        <v>7.5746208215473471E-4</v>
      </c>
      <c r="E242" s="158"/>
      <c r="F242" s="150">
        <f>VLOOKUP(A242,'OPEB Amounts_Report'!$A$10:$A$319,1,FALSE)</f>
        <v>14366</v>
      </c>
      <c r="G242" s="5">
        <f>VLOOKUP(A242,'Change in Proportion Calc'!$A$5:$A$311,1,FALSE)</f>
        <v>14366</v>
      </c>
      <c r="H242" s="87"/>
    </row>
    <row r="243" spans="1:8">
      <c r="A243" s="10">
        <v>4317</v>
      </c>
      <c r="B243" s="11" t="str">
        <f t="shared" si="11"/>
        <v>SIDNEY GUTIERREZ MIDDLE SCHOOL</v>
      </c>
      <c r="C243" s="135">
        <f t="shared" si="9"/>
        <v>29420</v>
      </c>
      <c r="D243" s="137">
        <f t="shared" si="10"/>
        <v>2.1694023146932786E-4</v>
      </c>
      <c r="E243" s="158"/>
      <c r="F243" s="150">
        <f>VLOOKUP(A243,'OPEB Amounts_Report'!$A$10:$A$319,1,FALSE)</f>
        <v>4317</v>
      </c>
      <c r="G243" s="5">
        <f>VLOOKUP(A243,'Change in Proportion Calc'!$A$5:$A$311,1,FALSE)</f>
        <v>4317</v>
      </c>
      <c r="H243" s="87"/>
    </row>
    <row r="244" spans="1:8">
      <c r="A244" s="12">
        <v>2433</v>
      </c>
      <c r="B244" s="13" t="str">
        <f t="shared" si="11"/>
        <v>SIEMBRA LEADERSHIP CHARTER SCHOOL</v>
      </c>
      <c r="C244" s="136">
        <f t="shared" si="9"/>
        <v>75507</v>
      </c>
      <c r="D244" s="138">
        <f t="shared" si="10"/>
        <v>5.5678130719084091E-4</v>
      </c>
      <c r="E244" s="158"/>
      <c r="F244" s="150">
        <f>VLOOKUP(A244,'OPEB Amounts_Report'!$A$10:$A$319,1,FALSE)</f>
        <v>2433</v>
      </c>
      <c r="G244" s="5">
        <f>VLOOKUP(A244,'Change in Proportion Calc'!$A$5:$A$311,1,FALSE)</f>
        <v>2433</v>
      </c>
      <c r="H244" s="87"/>
    </row>
    <row r="245" spans="1:8">
      <c r="A245" s="10">
        <v>3300</v>
      </c>
      <c r="B245" s="11" t="str">
        <f t="shared" si="11"/>
        <v xml:space="preserve">SIERRA COUNTY </v>
      </c>
      <c r="C245" s="135">
        <f t="shared" si="9"/>
        <v>91931</v>
      </c>
      <c r="D245" s="137">
        <f t="shared" si="10"/>
        <v>6.7789029297099859E-4</v>
      </c>
      <c r="E245" s="158"/>
      <c r="F245" s="150">
        <f>VLOOKUP(A245,'OPEB Amounts_Report'!$A$10:$A$319,1,FALSE)</f>
        <v>3300</v>
      </c>
      <c r="G245" s="5">
        <f>VLOOKUP(A245,'Change in Proportion Calc'!$A$5:$A$311,1,FALSE)</f>
        <v>3300</v>
      </c>
      <c r="H245" s="87"/>
    </row>
    <row r="246" spans="1:8">
      <c r="A246" s="12">
        <v>8026</v>
      </c>
      <c r="B246" s="13" t="str">
        <f t="shared" si="11"/>
        <v>SILVER CITY CONSOLIDATED SCHOOLS</v>
      </c>
      <c r="C246" s="136">
        <f t="shared" si="9"/>
        <v>434510</v>
      </c>
      <c r="D246" s="138">
        <f t="shared" si="10"/>
        <v>3.204034669467629E-3</v>
      </c>
      <c r="E246" s="158"/>
      <c r="F246" s="150">
        <f>VLOOKUP(A246,'OPEB Amounts_Report'!$A$10:$A$319,1,FALSE)</f>
        <v>8026</v>
      </c>
      <c r="G246" s="5">
        <f>VLOOKUP(A246,'Change in Proportion Calc'!$A$5:$A$311,1,FALSE)</f>
        <v>8026</v>
      </c>
      <c r="H246" s="87"/>
    </row>
    <row r="247" spans="1:8">
      <c r="A247" s="10">
        <v>13438</v>
      </c>
      <c r="B247" s="11" t="str">
        <f t="shared" si="11"/>
        <v>SIX DIRECTIONS INDIGENOUS SCHOOL</v>
      </c>
      <c r="C247" s="135">
        <f t="shared" si="9"/>
        <v>13694</v>
      </c>
      <c r="D247" s="137">
        <f t="shared" si="10"/>
        <v>1.0097823010676328E-4</v>
      </c>
      <c r="E247" s="158"/>
      <c r="F247" s="150">
        <f>VLOOKUP(A247,'OPEB Amounts_Report'!$A$10:$A$319,1,FALSE)</f>
        <v>13438</v>
      </c>
      <c r="G247" s="5">
        <f>VLOOKUP(A247,'Change in Proportion Calc'!$A$5:$A$311,1,FALSE)</f>
        <v>13438</v>
      </c>
      <c r="H247" s="87"/>
    </row>
    <row r="248" spans="1:8">
      <c r="A248" s="12">
        <v>25076</v>
      </c>
      <c r="B248" s="13" t="str">
        <f t="shared" si="11"/>
        <v>SOCORRO CONSOLIDATED SCHOOLS</v>
      </c>
      <c r="C248" s="136">
        <f t="shared" si="9"/>
        <v>252111</v>
      </c>
      <c r="D248" s="138">
        <f t="shared" si="10"/>
        <v>1.8590421038736818E-3</v>
      </c>
      <c r="E248" s="158"/>
      <c r="F248" s="150">
        <f>VLOOKUP(A248,'OPEB Amounts_Report'!$A$10:$A$319,1,FALSE)</f>
        <v>25076</v>
      </c>
      <c r="G248" s="5">
        <f>VLOOKUP(A248,'Change in Proportion Calc'!$A$5:$A$311,1,FALSE)</f>
        <v>25076</v>
      </c>
      <c r="H248" s="87"/>
    </row>
    <row r="249" spans="1:8">
      <c r="A249" s="10">
        <v>2440</v>
      </c>
      <c r="B249" s="11" t="str">
        <f t="shared" si="11"/>
        <v>SOLARE COLLEGIATE CHARTER</v>
      </c>
      <c r="C249" s="135">
        <f t="shared" si="9"/>
        <v>57923</v>
      </c>
      <c r="D249" s="137">
        <f t="shared" si="10"/>
        <v>4.2711859372528474E-4</v>
      </c>
      <c r="E249" s="158"/>
      <c r="F249" s="150">
        <f>VLOOKUP(A249,'OPEB Amounts_Report'!$A$10:$A$319,1,FALSE)</f>
        <v>2440</v>
      </c>
      <c r="G249" s="5">
        <f>VLOOKUP(A249,'Change in Proportion Calc'!$A$5:$A$311,1,FALSE)</f>
        <v>2440</v>
      </c>
      <c r="H249" s="87"/>
    </row>
    <row r="250" spans="1:8">
      <c r="A250" s="12">
        <v>2309</v>
      </c>
      <c r="B250" s="43" t="str">
        <f t="shared" si="11"/>
        <v>SOUTH VALLEY ACADEMY</v>
      </c>
      <c r="C250" s="156">
        <f t="shared" si="9"/>
        <v>113124</v>
      </c>
      <c r="D250" s="140">
        <f t="shared" si="10"/>
        <v>8.3416542300259161E-4</v>
      </c>
      <c r="E250" s="158"/>
      <c r="F250" s="150">
        <f>VLOOKUP(A250,'OPEB Amounts_Report'!$A$10:$A$319,1,FALSE)</f>
        <v>2309</v>
      </c>
      <c r="G250" s="5">
        <f>VLOOKUP(A250,'Change in Proportion Calc'!$A$5:$A$311,1,FALSE)</f>
        <v>2309</v>
      </c>
      <c r="H250" s="87"/>
    </row>
    <row r="251" spans="1:8">
      <c r="A251" s="10">
        <v>2396</v>
      </c>
      <c r="B251" s="11" t="str">
        <f t="shared" si="11"/>
        <v>SOUTH VALLEY PREPARATORY SCHOOL</v>
      </c>
      <c r="C251" s="135">
        <f t="shared" si="9"/>
        <v>20674</v>
      </c>
      <c r="D251" s="137">
        <f t="shared" si="10"/>
        <v>1.5244807428269489E-4</v>
      </c>
      <c r="E251" s="158"/>
      <c r="F251" s="150">
        <f>VLOOKUP(A251,'OPEB Amounts_Report'!$A$10:$A$319,1,FALSE)</f>
        <v>2396</v>
      </c>
      <c r="G251" s="5">
        <f>VLOOKUP(A251,'Change in Proportion Calc'!$A$5:$A$311,1,FALSE)</f>
        <v>2396</v>
      </c>
      <c r="H251" s="87"/>
    </row>
    <row r="252" spans="1:8">
      <c r="A252" s="12" t="s">
        <v>721</v>
      </c>
      <c r="B252" s="13" t="str">
        <f t="shared" si="11"/>
        <v>SOUTHEAST NEW MEXICO COLLEGE SENMC</v>
      </c>
      <c r="C252" s="136">
        <f t="shared" si="9"/>
        <v>243992</v>
      </c>
      <c r="D252" s="138">
        <f t="shared" si="10"/>
        <v>1.7991733839790702E-3</v>
      </c>
      <c r="E252" s="158"/>
      <c r="F252" s="150" t="str">
        <f>VLOOKUP(A252,'OPEB Amounts_Report'!$A$10:$A$319,1,FALSE)</f>
        <v>E3010</v>
      </c>
      <c r="G252" s="5" t="str">
        <f>VLOOKUP(A252,'Change in Proportion Calc'!$A$5:$A$311,1,FALSE)</f>
        <v>E3010</v>
      </c>
      <c r="H252" s="87"/>
    </row>
    <row r="253" spans="1:8">
      <c r="A253" s="10">
        <v>3380</v>
      </c>
      <c r="B253" s="11" t="str">
        <f t="shared" si="11"/>
        <v xml:space="preserve">SOUTHERN SANDOVAL COUNTY ARROYO FLOOD CONTROL AUTHORITY </v>
      </c>
      <c r="C253" s="135">
        <f t="shared" si="9"/>
        <v>21875</v>
      </c>
      <c r="D253" s="137">
        <f t="shared" si="10"/>
        <v>1.6130413199835306E-4</v>
      </c>
      <c r="E253" s="158"/>
      <c r="F253" s="150">
        <f>VLOOKUP(A253,'OPEB Amounts_Report'!$A$10:$A$319,1,FALSE)</f>
        <v>3380</v>
      </c>
      <c r="G253" s="5">
        <f>VLOOKUP(A253,'Change in Proportion Calc'!$A$5:$A$311,1,FALSE)</f>
        <v>3380</v>
      </c>
      <c r="H253" s="87"/>
    </row>
    <row r="254" spans="1:8">
      <c r="A254" s="12">
        <v>2420</v>
      </c>
      <c r="B254" s="13" t="str">
        <f t="shared" si="11"/>
        <v>ALBUQUERQUE AVIATION ACADEMY (FORMERLY SOUTHWEST AERONAUTICS MATH &amp; SCIENCE ACADEMY)</v>
      </c>
      <c r="C254" s="136">
        <f t="shared" si="9"/>
        <v>36746</v>
      </c>
      <c r="D254" s="138">
        <f t="shared" si="10"/>
        <v>2.7096144614452487E-4</v>
      </c>
      <c r="E254" s="158"/>
      <c r="F254" s="150">
        <f>VLOOKUP(A254,'OPEB Amounts_Report'!$A$10:$A$319,1,FALSE)</f>
        <v>2420</v>
      </c>
      <c r="G254" s="5">
        <f>VLOOKUP(A254,'Change in Proportion Calc'!$A$5:$A$311,1,FALSE)</f>
        <v>2420</v>
      </c>
      <c r="H254" s="87"/>
    </row>
    <row r="255" spans="1:8">
      <c r="A255" s="10">
        <v>2740</v>
      </c>
      <c r="B255" s="11" t="str">
        <f t="shared" si="11"/>
        <v>SOUTHWEST NEW MEXICO COUNCIL OF GOVERNMENTS</v>
      </c>
      <c r="C255" s="135">
        <f t="shared" si="9"/>
        <v>4436</v>
      </c>
      <c r="D255" s="137">
        <f t="shared" si="10"/>
        <v>3.271063449347173E-5</v>
      </c>
      <c r="E255" s="158"/>
      <c r="F255" s="150">
        <f>VLOOKUP(A255,'OPEB Amounts_Report'!$A$10:$A$319,1,FALSE)</f>
        <v>2740</v>
      </c>
      <c r="G255" s="5">
        <f>VLOOKUP(A255,'Change in Proportion Calc'!$A$5:$A$311,1,FALSE)</f>
        <v>2740</v>
      </c>
      <c r="H255" s="87"/>
    </row>
    <row r="256" spans="1:8">
      <c r="A256" s="12">
        <v>2346</v>
      </c>
      <c r="B256" s="13" t="str">
        <f t="shared" si="11"/>
        <v>RENAISSANCE ACADEMY CHARTER SCHOOL (FORMERLY SOUTHWEST PRIMARY LEARNING CENTER)</v>
      </c>
      <c r="C256" s="136">
        <f t="shared" si="9"/>
        <v>24382</v>
      </c>
      <c r="D256" s="138">
        <f t="shared" si="10"/>
        <v>1.7979050726326144E-4</v>
      </c>
      <c r="E256" s="158"/>
      <c r="F256" s="150">
        <f>VLOOKUP(A256,'OPEB Amounts_Report'!$A$10:$A$319,1,FALSE)</f>
        <v>2346</v>
      </c>
      <c r="G256" s="5">
        <f>VLOOKUP(A256,'Change in Proportion Calc'!$A$5:$A$311,1,FALSE)</f>
        <v>2346</v>
      </c>
      <c r="H256" s="87"/>
    </row>
    <row r="257" spans="1:8">
      <c r="A257" s="10">
        <v>21150</v>
      </c>
      <c r="B257" s="11" t="str">
        <f t="shared" si="11"/>
        <v>SOUTHWEST REGIONAL EDUCATION #10</v>
      </c>
      <c r="C257" s="135">
        <f t="shared" si="9"/>
        <v>87657</v>
      </c>
      <c r="D257" s="137">
        <f t="shared" si="10"/>
        <v>6.4637423079221185E-4</v>
      </c>
      <c r="E257" s="158"/>
      <c r="F257" s="150">
        <f>VLOOKUP(A257,'OPEB Amounts_Report'!$A$10:$A$319,1,FALSE)</f>
        <v>21150</v>
      </c>
      <c r="G257" s="5">
        <f>VLOOKUP(A257,'Change in Proportion Calc'!$A$5:$A$311,1,FALSE)</f>
        <v>21150</v>
      </c>
      <c r="H257" s="87"/>
    </row>
    <row r="258" spans="1:8">
      <c r="A258" s="12">
        <v>4520</v>
      </c>
      <c r="B258" s="13" t="str">
        <f t="shared" si="11"/>
        <v>SPRINGER HOUSING AUTHORITY</v>
      </c>
      <c r="C258" s="136">
        <f t="shared" si="9"/>
        <v>3444</v>
      </c>
      <c r="D258" s="138">
        <f t="shared" si="10"/>
        <v>2.5395722541820703E-5</v>
      </c>
      <c r="E258" s="158"/>
      <c r="F258" s="150">
        <f>VLOOKUP(A258,'OPEB Amounts_Report'!$A$10:$A$319,1,FALSE)</f>
        <v>4520</v>
      </c>
      <c r="G258" s="5">
        <f>VLOOKUP(A258,'Change in Proportion Calc'!$A$5:$A$311,1,FALSE)</f>
        <v>4520</v>
      </c>
      <c r="H258" s="87"/>
    </row>
    <row r="259" spans="1:8">
      <c r="A259" s="10">
        <v>9030</v>
      </c>
      <c r="B259" s="11" t="str">
        <f t="shared" si="11"/>
        <v>SPRINGER MUNICIPAL SCHOOLS</v>
      </c>
      <c r="C259" s="135">
        <f t="shared" si="9"/>
        <v>35561</v>
      </c>
      <c r="D259" s="137">
        <f t="shared" si="10"/>
        <v>2.6222337087969979E-4</v>
      </c>
      <c r="E259" s="158"/>
      <c r="F259" s="150">
        <f>VLOOKUP(A259,'OPEB Amounts_Report'!$A$10:$A$319,1,FALSE)</f>
        <v>9030</v>
      </c>
      <c r="G259" s="5">
        <f>VLOOKUP(A259,'Change in Proportion Calc'!$A$5:$A$311,1,FALSE)</f>
        <v>9030</v>
      </c>
      <c r="H259" s="87"/>
    </row>
    <row r="260" spans="1:8">
      <c r="A260" s="183">
        <v>20265</v>
      </c>
      <c r="B260" s="184" t="str">
        <f t="shared" si="11"/>
        <v>TAOS ACADEMY CHARTER SCHOOL</v>
      </c>
      <c r="C260" s="185">
        <f t="shared" si="9"/>
        <v>50668</v>
      </c>
      <c r="D260" s="186">
        <f t="shared" si="10"/>
        <v>3.7362092617565957E-4</v>
      </c>
      <c r="E260" s="158"/>
      <c r="F260" s="150">
        <f>VLOOKUP(A260,'OPEB Amounts_Report'!$A$10:$A$319,1,FALSE)</f>
        <v>20265</v>
      </c>
      <c r="G260" s="5">
        <f>VLOOKUP(A260,'Change in Proportion Calc'!$A$5:$A$311,1,FALSE)</f>
        <v>20265</v>
      </c>
      <c r="H260" s="87"/>
    </row>
    <row r="261" spans="1:8">
      <c r="A261" s="10">
        <v>20307</v>
      </c>
      <c r="B261" s="11" t="str">
        <f t="shared" si="11"/>
        <v>TAOS CHARTER SCHOOL</v>
      </c>
      <c r="C261" s="135">
        <f t="shared" si="9"/>
        <v>39989</v>
      </c>
      <c r="D261" s="137">
        <f t="shared" si="10"/>
        <v>2.9487501414775496E-4</v>
      </c>
      <c r="E261" s="158"/>
      <c r="F261" s="150">
        <f>VLOOKUP(A261,'OPEB Amounts_Report'!$A$10:$A$319,1,FALSE)</f>
        <v>20307</v>
      </c>
      <c r="G261" s="5">
        <f>VLOOKUP(A261,'Change in Proportion Calc'!$A$5:$A$311,1,FALSE)</f>
        <v>20307</v>
      </c>
      <c r="H261" s="87"/>
    </row>
    <row r="262" spans="1:8">
      <c r="A262" s="12">
        <v>3320</v>
      </c>
      <c r="B262" s="13" t="str">
        <f t="shared" si="11"/>
        <v>TAOS COUNTY</v>
      </c>
      <c r="C262" s="136">
        <f t="shared" si="9"/>
        <v>268707</v>
      </c>
      <c r="D262" s="138">
        <f t="shared" si="10"/>
        <v>1.9814194010002949E-3</v>
      </c>
      <c r="E262" s="158"/>
      <c r="F262" s="150">
        <f>VLOOKUP(A262,'OPEB Amounts_Report'!$A$10:$A$319,1,FALSE)</f>
        <v>3320</v>
      </c>
      <c r="G262" s="5">
        <f>VLOOKUP(A262,'Change in Proportion Calc'!$A$5:$A$311,1,FALSE)</f>
        <v>3320</v>
      </c>
      <c r="H262" s="87"/>
    </row>
    <row r="263" spans="1:8">
      <c r="A263" s="10">
        <v>20415</v>
      </c>
      <c r="B263" s="11" t="str">
        <f t="shared" si="11"/>
        <v>TAOS INTEGRATED SCHOOL OF THE ARTS</v>
      </c>
      <c r="C263" s="135">
        <f t="shared" si="9"/>
        <v>31973</v>
      </c>
      <c r="D263" s="137">
        <f t="shared" si="10"/>
        <v>2.3576580628038136E-4</v>
      </c>
      <c r="E263" s="158"/>
      <c r="F263" s="150">
        <f>VLOOKUP(A263,'OPEB Amounts_Report'!$A$10:$A$319,1,FALSE)</f>
        <v>20415</v>
      </c>
      <c r="G263" s="5">
        <f>VLOOKUP(A263,'Change in Proportion Calc'!$A$5:$A$311,1,FALSE)</f>
        <v>20415</v>
      </c>
      <c r="H263" s="87"/>
    </row>
    <row r="264" spans="1:8">
      <c r="A264" s="12">
        <v>20435</v>
      </c>
      <c r="B264" s="13" t="str">
        <f t="shared" si="11"/>
        <v>TAOS INTERNATIONAL SCHOOL</v>
      </c>
      <c r="C264" s="136">
        <f t="shared" si="9"/>
        <v>32297</v>
      </c>
      <c r="D264" s="138">
        <f t="shared" si="10"/>
        <v>2.3815495090975125E-4</v>
      </c>
      <c r="E264" s="158"/>
      <c r="F264" s="150">
        <f>VLOOKUP(A264,'OPEB Amounts_Report'!$A$10:$A$319,1,FALSE)</f>
        <v>20435</v>
      </c>
      <c r="G264" s="5">
        <f>VLOOKUP(A264,'Change in Proportion Calc'!$A$5:$A$311,1,FALSE)</f>
        <v>20435</v>
      </c>
      <c r="H264" s="87"/>
    </row>
    <row r="265" spans="1:8">
      <c r="A265" s="10">
        <v>20062</v>
      </c>
      <c r="B265" s="11" t="str">
        <f t="shared" si="11"/>
        <v>TAOS MUNICIPAL SCHOOLS</v>
      </c>
      <c r="C265" s="135">
        <f t="shared" ref="C265:C314" si="12">+VLOOKUP(A265,$D$321:$F$628,3,FALSE)</f>
        <v>352938</v>
      </c>
      <c r="D265" s="137">
        <f t="shared" ref="D265:D314" si="13">+C265/$C$316</f>
        <v>2.6025306395078733E-3</v>
      </c>
      <c r="E265" s="158"/>
      <c r="F265" s="150">
        <f>VLOOKUP(A265,'OPEB Amounts_Report'!$A$10:$A$319,1,FALSE)</f>
        <v>20062</v>
      </c>
      <c r="G265" s="5">
        <f>VLOOKUP(A265,'Change in Proportion Calc'!$A$5:$A$311,1,FALSE)</f>
        <v>20062</v>
      </c>
      <c r="H265" s="87"/>
    </row>
    <row r="266" spans="1:8">
      <c r="A266" s="12">
        <v>3410</v>
      </c>
      <c r="B266" s="13" t="str">
        <f t="shared" si="11"/>
        <v>TAOS SOIL AND WATER CONVERVATION DISTRICT</v>
      </c>
      <c r="C266" s="136">
        <f t="shared" si="12"/>
        <v>9959</v>
      </c>
      <c r="D266" s="138">
        <f t="shared" si="13"/>
        <v>7.3436701740415918E-5</v>
      </c>
      <c r="E266" s="158"/>
      <c r="F266" s="150">
        <f>VLOOKUP(A266,'OPEB Amounts_Report'!$A$10:$A$319,1,FALSE)</f>
        <v>3410</v>
      </c>
      <c r="G266" s="5">
        <f>VLOOKUP(A266,'Change in Proportion Calc'!$A$5:$A$311,1,FALSE)</f>
        <v>3410</v>
      </c>
      <c r="H266" s="87"/>
    </row>
    <row r="267" spans="1:8">
      <c r="A267" s="10">
        <v>6020</v>
      </c>
      <c r="B267" s="11" t="str">
        <f t="shared" ref="B267:B314" si="14">VLOOKUP(A267,$D$324:$E$628,2,FALSE)</f>
        <v>TATUM MUNICIPAL SCHOOLS</v>
      </c>
      <c r="C267" s="135">
        <f t="shared" si="12"/>
        <v>73208</v>
      </c>
      <c r="D267" s="137">
        <f t="shared" si="13"/>
        <v>5.3982870378676249E-4</v>
      </c>
      <c r="E267" s="158"/>
      <c r="F267" s="150">
        <f>VLOOKUP(A267,'OPEB Amounts_Report'!$A$10:$A$319,1,FALSE)</f>
        <v>6020</v>
      </c>
      <c r="G267" s="5">
        <f>VLOOKUP(A267,'Change in Proportion Calc'!$A$5:$A$311,1,FALSE)</f>
        <v>6020</v>
      </c>
      <c r="H267" s="87"/>
    </row>
    <row r="268" spans="1:8">
      <c r="A268" s="12">
        <v>2394</v>
      </c>
      <c r="B268" s="13" t="str">
        <f t="shared" si="14"/>
        <v>TECH LEADERSHIP HIGH SCHOOL</v>
      </c>
      <c r="C268" s="136">
        <f t="shared" si="12"/>
        <v>50355</v>
      </c>
      <c r="D268" s="138">
        <f t="shared" si="13"/>
        <v>3.713128944812374E-4</v>
      </c>
      <c r="E268" s="158"/>
      <c r="F268" s="150">
        <f>VLOOKUP(A268,'OPEB Amounts_Report'!$A$10:$A$319,1,FALSE)</f>
        <v>2394</v>
      </c>
      <c r="G268" s="5">
        <f>VLOOKUP(A268,'Change in Proportion Calc'!$A$5:$A$311,1,FALSE)</f>
        <v>2394</v>
      </c>
      <c r="H268" s="87"/>
    </row>
    <row r="269" spans="1:8">
      <c r="A269" s="10">
        <v>5015</v>
      </c>
      <c r="B269" s="11" t="str">
        <f t="shared" si="14"/>
        <v>TEXICO MUNICIPAL SCHOOLS</v>
      </c>
      <c r="C269" s="135">
        <f t="shared" si="12"/>
        <v>102203</v>
      </c>
      <c r="D269" s="137">
        <f t="shared" si="13"/>
        <v>7.5363502640583672E-4</v>
      </c>
      <c r="E269" s="158"/>
      <c r="F269" s="150">
        <f>VLOOKUP(A269,'OPEB Amounts_Report'!$A$10:$A$319,1,FALSE)</f>
        <v>5015</v>
      </c>
      <c r="G269" s="5">
        <f>VLOOKUP(A269,'Change in Proportion Calc'!$A$5:$A$311,1,FALSE)</f>
        <v>5015</v>
      </c>
      <c r="H269" s="87"/>
    </row>
    <row r="270" spans="1:8">
      <c r="A270" s="12">
        <v>29408</v>
      </c>
      <c r="B270" s="43" t="str">
        <f t="shared" si="14"/>
        <v>THE ASK ACADEMY</v>
      </c>
      <c r="C270" s="156">
        <f t="shared" si="12"/>
        <v>78191</v>
      </c>
      <c r="D270" s="140">
        <f t="shared" si="13"/>
        <v>5.7657286331809022E-4</v>
      </c>
      <c r="E270" s="158"/>
      <c r="F270" s="150">
        <f>VLOOKUP(A270,'OPEB Amounts_Report'!$A$10:$A$319,1,FALSE)</f>
        <v>29408</v>
      </c>
      <c r="G270" s="5">
        <f>VLOOKUP(A270,'Change in Proportion Calc'!$A$5:$A$311,1,FALSE)</f>
        <v>29408</v>
      </c>
      <c r="H270" s="87"/>
    </row>
    <row r="271" spans="1:8">
      <c r="A271" s="10">
        <v>2413</v>
      </c>
      <c r="B271" s="11" t="str">
        <f t="shared" si="14"/>
        <v>THE GREAT ACADEMY</v>
      </c>
      <c r="C271" s="135">
        <f t="shared" si="12"/>
        <v>10178</v>
      </c>
      <c r="D271" s="137">
        <f t="shared" si="13"/>
        <v>7.5051586536193702E-5</v>
      </c>
      <c r="E271" s="158"/>
      <c r="F271" s="150">
        <f>VLOOKUP(A271,'OPEB Amounts_Report'!$A$10:$A$319,1,FALSE)</f>
        <v>2413</v>
      </c>
      <c r="G271" s="5">
        <f>VLOOKUP(A271,'Change in Proportion Calc'!$A$5:$A$311,1,FALSE)</f>
        <v>2413</v>
      </c>
      <c r="H271" s="87"/>
    </row>
    <row r="272" spans="1:8">
      <c r="A272" s="12">
        <v>1398</v>
      </c>
      <c r="B272" s="13" t="str">
        <f t="shared" si="14"/>
        <v>THE MASTERS PROGRAM</v>
      </c>
      <c r="C272" s="136">
        <f t="shared" si="12"/>
        <v>53980</v>
      </c>
      <c r="D272" s="138">
        <f t="shared" si="13"/>
        <v>3.9804329349810733E-4</v>
      </c>
      <c r="E272" s="158"/>
      <c r="F272" s="150">
        <f>VLOOKUP(A272,'OPEB Amounts_Report'!$A$10:$A$319,1,FALSE)</f>
        <v>1398</v>
      </c>
      <c r="G272" s="5">
        <f>VLOOKUP(A272,'Change in Proportion Calc'!$A$5:$A$311,1,FALSE)</f>
        <v>1398</v>
      </c>
      <c r="H272" s="87"/>
    </row>
    <row r="273" spans="1:8">
      <c r="A273" s="10">
        <v>2366</v>
      </c>
      <c r="B273" s="11" t="str">
        <f t="shared" si="14"/>
        <v>THE NEW AMERICA SCHOOL</v>
      </c>
      <c r="C273" s="135">
        <f t="shared" si="12"/>
        <v>23703</v>
      </c>
      <c r="D273" s="137">
        <f t="shared" si="13"/>
        <v>1.7478362700603257E-4</v>
      </c>
      <c r="E273" s="158"/>
      <c r="F273" s="150">
        <f>VLOOKUP(A273,'OPEB Amounts_Report'!$A$10:$A$319,1,FALSE)</f>
        <v>2366</v>
      </c>
      <c r="G273" s="5">
        <f>VLOOKUP(A273,'Change in Proportion Calc'!$A$5:$A$311,1,FALSE)</f>
        <v>2366</v>
      </c>
      <c r="H273" s="87"/>
    </row>
    <row r="274" spans="1:8">
      <c r="A274" s="12">
        <v>7421</v>
      </c>
      <c r="B274" s="13" t="str">
        <f t="shared" si="14"/>
        <v>THE NEW AMERICA SCHOOL - LAS CRUCES</v>
      </c>
      <c r="C274" s="136">
        <f t="shared" si="12"/>
        <v>28861</v>
      </c>
      <c r="D274" s="138">
        <f t="shared" si="13"/>
        <v>2.1281821959334709E-4</v>
      </c>
      <c r="E274" s="158"/>
      <c r="F274" s="150">
        <f>VLOOKUP(A274,'OPEB Amounts_Report'!$A$10:$A$319,1,FALSE)</f>
        <v>7421</v>
      </c>
      <c r="G274" s="5">
        <f>VLOOKUP(A274,'Change in Proportion Calc'!$A$5:$A$311,1,FALSE)</f>
        <v>7421</v>
      </c>
      <c r="H274" s="87"/>
    </row>
    <row r="275" spans="1:8">
      <c r="A275" s="10">
        <v>1425</v>
      </c>
      <c r="B275" s="11" t="str">
        <f t="shared" si="14"/>
        <v xml:space="preserve">THRIVE COMMUNITY SCHOOL </v>
      </c>
      <c r="C275" s="135">
        <f t="shared" si="12"/>
        <v>50544</v>
      </c>
      <c r="D275" s="137">
        <f t="shared" si="13"/>
        <v>3.7270656218170315E-4</v>
      </c>
      <c r="E275" s="158"/>
      <c r="F275" s="150">
        <f>VLOOKUP(A275,'OPEB Amounts_Report'!$A$10:$A$319,1,FALSE)</f>
        <v>1425</v>
      </c>
      <c r="G275" s="5">
        <f>VLOOKUP(A275,'Change in Proportion Calc'!$A$5:$A$311,1,FALSE)</f>
        <v>1425</v>
      </c>
      <c r="H275" s="87"/>
    </row>
    <row r="276" spans="1:8">
      <c r="A276" s="12">
        <v>2370</v>
      </c>
      <c r="B276" s="43" t="str">
        <f t="shared" si="14"/>
        <v>TIERRA ADENTRO OF NEW MEXICO</v>
      </c>
      <c r="C276" s="156">
        <f t="shared" si="12"/>
        <v>39038</v>
      </c>
      <c r="D276" s="140">
        <f t="shared" si="13"/>
        <v>2.8786243222636375E-4</v>
      </c>
      <c r="E276" s="158"/>
      <c r="F276" s="150">
        <f>VLOOKUP(A276,'OPEB Amounts_Report'!$A$10:$A$319,1,FALSE)</f>
        <v>2370</v>
      </c>
      <c r="G276" s="5">
        <f>VLOOKUP(A276,'Change in Proportion Calc'!$A$5:$A$311,1,FALSE)</f>
        <v>2370</v>
      </c>
      <c r="H276" s="87"/>
    </row>
    <row r="277" spans="1:8">
      <c r="A277" s="10">
        <v>1343</v>
      </c>
      <c r="B277" s="11" t="str">
        <f t="shared" si="14"/>
        <v>TIERRA ENCANTADA CHARTER HIGH SCHOOL</v>
      </c>
      <c r="C277" s="135">
        <f t="shared" si="12"/>
        <v>47178</v>
      </c>
      <c r="D277" s="137">
        <f t="shared" si="13"/>
        <v>3.4788600408769372E-4</v>
      </c>
      <c r="E277" s="158"/>
      <c r="F277" s="150">
        <f>VLOOKUP(A277,'OPEB Amounts_Report'!$A$10:$A$319,1,FALSE)</f>
        <v>1343</v>
      </c>
      <c r="G277" s="5">
        <f>VLOOKUP(A277,'Change in Proportion Calc'!$A$5:$A$311,1,FALSE)</f>
        <v>1343</v>
      </c>
      <c r="H277" s="87"/>
    </row>
    <row r="278" spans="1:8">
      <c r="A278" s="12">
        <v>2790</v>
      </c>
      <c r="B278" s="13" t="str">
        <f t="shared" si="14"/>
        <v>TIERRA Y MONTES SOIL AND WATER CONSERVATION DISTRICT</v>
      </c>
      <c r="C278" s="136">
        <f t="shared" si="12"/>
        <v>5064</v>
      </c>
      <c r="D278" s="138">
        <f t="shared" si="13"/>
        <v>3.7341445688670168E-5</v>
      </c>
      <c r="E278" s="158"/>
      <c r="F278" s="150">
        <f>VLOOKUP(A278,'OPEB Amounts_Report'!$A$10:$A$319,1,FALSE)</f>
        <v>2790</v>
      </c>
      <c r="G278" s="5">
        <f>VLOOKUP(A278,'Change in Proportion Calc'!$A$5:$A$311,1,FALSE)</f>
        <v>2790</v>
      </c>
      <c r="H278" s="87"/>
    </row>
    <row r="279" spans="1:8">
      <c r="A279" s="10">
        <v>3330</v>
      </c>
      <c r="B279" s="11" t="str">
        <f t="shared" si="14"/>
        <v>TORRANCE COUNTY</v>
      </c>
      <c r="C279" s="135">
        <f t="shared" si="12"/>
        <v>109987</v>
      </c>
      <c r="D279" s="137">
        <f t="shared" si="13"/>
        <v>8.1103348873613063E-4</v>
      </c>
      <c r="E279" s="158"/>
      <c r="F279" s="150">
        <f>VLOOKUP(A279,'OPEB Amounts_Report'!$A$10:$A$319,1,FALSE)</f>
        <v>3330</v>
      </c>
      <c r="G279" s="5">
        <f>VLOOKUP(A279,'Change in Proportion Calc'!$A$5:$A$311,1,FALSE)</f>
        <v>3330</v>
      </c>
      <c r="H279" s="87"/>
    </row>
    <row r="280" spans="1:8">
      <c r="A280" s="12">
        <v>2080</v>
      </c>
      <c r="B280" s="13" t="str">
        <f t="shared" si="14"/>
        <v>TOWN OF BERNALILLO</v>
      </c>
      <c r="C280" s="136">
        <f t="shared" si="12"/>
        <v>133880</v>
      </c>
      <c r="D280" s="138">
        <f t="shared" si="13"/>
        <v>9.8721815734580608E-4</v>
      </c>
      <c r="E280" s="158"/>
      <c r="F280" s="150">
        <f>VLOOKUP(A280,'OPEB Amounts_Report'!$A$10:$A$319,1,FALSE)</f>
        <v>2080</v>
      </c>
      <c r="G280" s="5">
        <f>VLOOKUP(A280,'Change in Proportion Calc'!$A$5:$A$311,1,FALSE)</f>
        <v>2080</v>
      </c>
      <c r="H280" s="87"/>
    </row>
    <row r="281" spans="1:8">
      <c r="A281" s="10">
        <v>4290</v>
      </c>
      <c r="B281" s="11" t="str">
        <f t="shared" si="14"/>
        <v>TOWN OF EDGEWOOD</v>
      </c>
      <c r="C281" s="135">
        <f t="shared" si="12"/>
        <v>81962</v>
      </c>
      <c r="D281" s="137">
        <f t="shared" si="13"/>
        <v>6.04379852198812E-4</v>
      </c>
      <c r="E281" s="158"/>
      <c r="F281" s="150">
        <f>VLOOKUP(A281,'OPEB Amounts_Report'!$A$10:$A$319,1,FALSE)</f>
        <v>4290</v>
      </c>
      <c r="G281" s="5">
        <f>VLOOKUP(A281,'Change in Proportion Calc'!$A$5:$A$311,1,FALSE)</f>
        <v>4290</v>
      </c>
      <c r="H281" s="87"/>
    </row>
    <row r="282" spans="1:8">
      <c r="A282" s="12">
        <v>2270</v>
      </c>
      <c r="B282" s="13" t="str">
        <f t="shared" si="14"/>
        <v>TOWN OF ELIDA</v>
      </c>
      <c r="C282" s="136">
        <f t="shared" si="12"/>
        <v>1914</v>
      </c>
      <c r="D282" s="138">
        <f t="shared" si="13"/>
        <v>1.4113650680907325E-5</v>
      </c>
      <c r="E282" s="158"/>
      <c r="F282" s="150">
        <f>VLOOKUP(A282,'OPEB Amounts_Report'!$A$10:$A$319,1,FALSE)</f>
        <v>2270</v>
      </c>
      <c r="G282" s="5">
        <f>VLOOKUP(A282,'Change in Proportion Calc'!$A$5:$A$311,1,FALSE)</f>
        <v>2270</v>
      </c>
      <c r="H282" s="87"/>
    </row>
    <row r="283" spans="1:8">
      <c r="A283" s="10">
        <v>2300</v>
      </c>
      <c r="B283" s="11" t="str">
        <f t="shared" si="14"/>
        <v>TOWN OF ESTANCIA</v>
      </c>
      <c r="C283" s="135">
        <f t="shared" si="12"/>
        <v>18862</v>
      </c>
      <c r="D283" s="137">
        <f t="shared" si="13"/>
        <v>1.3908656172584847E-4</v>
      </c>
      <c r="E283" s="158"/>
      <c r="F283" s="150">
        <f>VLOOKUP(A283,'OPEB Amounts_Report'!$A$10:$A$319,1,FALSE)</f>
        <v>2300</v>
      </c>
      <c r="G283" s="5">
        <f>VLOOKUP(A283,'Change in Proportion Calc'!$A$5:$A$311,1,FALSE)</f>
        <v>2300</v>
      </c>
      <c r="H283" s="87"/>
    </row>
    <row r="284" spans="1:8">
      <c r="A284" s="12">
        <v>2720</v>
      </c>
      <c r="B284" s="13" t="str">
        <f t="shared" si="14"/>
        <v>TOWN OF SILVER CITY</v>
      </c>
      <c r="C284" s="136">
        <f t="shared" si="12"/>
        <v>176231</v>
      </c>
      <c r="D284" s="138">
        <f t="shared" si="13"/>
        <v>1.2995103307977946E-3</v>
      </c>
      <c r="E284" s="158"/>
      <c r="F284" s="150">
        <f>VLOOKUP(A284,'OPEB Amounts_Report'!$A$10:$A$319,1,FALSE)</f>
        <v>2720</v>
      </c>
      <c r="G284" s="5">
        <f>VLOOKUP(A284,'Change in Proportion Calc'!$A$5:$A$311,1,FALSE)</f>
        <v>2720</v>
      </c>
      <c r="H284" s="87"/>
    </row>
    <row r="285" spans="1:8">
      <c r="A285" s="10">
        <v>2750</v>
      </c>
      <c r="B285" s="11" t="str">
        <f t="shared" si="14"/>
        <v>TOWN OF SPRINGER</v>
      </c>
      <c r="C285" s="135">
        <f t="shared" si="12"/>
        <v>11526</v>
      </c>
      <c r="D285" s="137">
        <f t="shared" si="13"/>
        <v>8.4991608018880794E-5</v>
      </c>
      <c r="E285" s="158"/>
      <c r="F285" s="150">
        <f>VLOOKUP(A285,'OPEB Amounts_Report'!$A$10:$A$319,1,FALSE)</f>
        <v>2750</v>
      </c>
      <c r="G285" s="5">
        <f>VLOOKUP(A285,'Change in Proportion Calc'!$A$5:$A$311,1,FALSE)</f>
        <v>2750</v>
      </c>
      <c r="H285" s="87"/>
    </row>
    <row r="286" spans="1:8">
      <c r="A286" s="12">
        <v>2770</v>
      </c>
      <c r="B286" s="13" t="str">
        <f t="shared" si="14"/>
        <v>TOWN OF TAOS</v>
      </c>
      <c r="C286" s="136">
        <f t="shared" si="12"/>
        <v>167115</v>
      </c>
      <c r="D286" s="138">
        <f t="shared" si="13"/>
        <v>1.2322898294356466E-3</v>
      </c>
      <c r="E286" s="158"/>
      <c r="F286" s="150">
        <f>VLOOKUP(A286,'OPEB Amounts_Report'!$A$10:$A$319,1,FALSE)</f>
        <v>2770</v>
      </c>
      <c r="G286" s="5">
        <f>VLOOKUP(A286,'Change in Proportion Calc'!$A$5:$A$311,1,FALSE)</f>
        <v>2770</v>
      </c>
      <c r="H286" s="87"/>
    </row>
    <row r="287" spans="1:8">
      <c r="A287" s="10">
        <v>32106</v>
      </c>
      <c r="B287" s="11" t="str">
        <f t="shared" si="14"/>
        <v>TOWN OF TATUM</v>
      </c>
      <c r="C287" s="135">
        <f t="shared" si="12"/>
        <v>12648</v>
      </c>
      <c r="D287" s="137">
        <f t="shared" si="13"/>
        <v>9.3265127383550603E-5</v>
      </c>
      <c r="E287" s="158"/>
      <c r="F287" s="150">
        <f>VLOOKUP(A287,'OPEB Amounts_Report'!$A$10:$A$319,1,FALSE)</f>
        <v>32106</v>
      </c>
      <c r="G287" s="5">
        <f>VLOOKUP(A287,'Change in Proportion Calc'!$A$5:$A$311,1,FALSE)</f>
        <v>32106</v>
      </c>
      <c r="H287" s="87"/>
    </row>
    <row r="288" spans="1:8">
      <c r="A288" s="12">
        <v>4180</v>
      </c>
      <c r="B288" s="13" t="str">
        <f t="shared" si="14"/>
        <v>TRUTH OR CONSEQUENCES HOUSING AUTHORITY</v>
      </c>
      <c r="C288" s="136">
        <f t="shared" si="12"/>
        <v>17418</v>
      </c>
      <c r="D288" s="138">
        <f t="shared" si="13"/>
        <v>1.2843864553816292E-4</v>
      </c>
      <c r="E288" s="158"/>
      <c r="F288" s="150">
        <f>VLOOKUP(A288,'OPEB Amounts_Report'!$A$10:$A$319,1,FALSE)</f>
        <v>4180</v>
      </c>
      <c r="G288" s="5">
        <f>VLOOKUP(A288,'Change in Proportion Calc'!$A$5:$A$311,1,FALSE)</f>
        <v>4180</v>
      </c>
      <c r="H288" s="87"/>
    </row>
    <row r="289" spans="1:8">
      <c r="A289" s="10">
        <v>21063</v>
      </c>
      <c r="B289" s="11" t="str">
        <f t="shared" si="14"/>
        <v>TRUTH OR CONSEQUENCES MUNICIPAL SCHOOLS</v>
      </c>
      <c r="C289" s="135">
        <f t="shared" si="12"/>
        <v>260685</v>
      </c>
      <c r="D289" s="137">
        <f t="shared" si="13"/>
        <v>1.922265949713859E-3</v>
      </c>
      <c r="E289" s="158"/>
      <c r="F289" s="150">
        <f>VLOOKUP(A289,'OPEB Amounts_Report'!$A$10:$A$319,1,FALSE)</f>
        <v>21063</v>
      </c>
      <c r="G289" s="5">
        <f>VLOOKUP(A289,'Change in Proportion Calc'!$A$5:$A$311,1,FALSE)</f>
        <v>21063</v>
      </c>
      <c r="H289" s="87"/>
    </row>
    <row r="290" spans="1:8">
      <c r="A290" s="12">
        <v>10033</v>
      </c>
      <c r="B290" s="13" t="str">
        <f t="shared" si="14"/>
        <v>TUCUMCARI PUBLIC SCHOOLS</v>
      </c>
      <c r="C290" s="136">
        <f t="shared" si="12"/>
        <v>167335</v>
      </c>
      <c r="D290" s="138">
        <f t="shared" si="13"/>
        <v>1.2339120881346016E-3</v>
      </c>
      <c r="E290" s="158"/>
      <c r="F290" s="150">
        <f>VLOOKUP(A290,'OPEB Amounts_Report'!$A$10:$A$319,1,FALSE)</f>
        <v>10033</v>
      </c>
      <c r="G290" s="5">
        <f>VLOOKUP(A290,'Change in Proportion Calc'!$A$5:$A$311,1,FALSE)</f>
        <v>10033</v>
      </c>
      <c r="H290" s="87"/>
    </row>
    <row r="291" spans="1:8">
      <c r="A291" s="10">
        <v>15049</v>
      </c>
      <c r="B291" s="11" t="str">
        <f t="shared" si="14"/>
        <v>TULAROSA MUNICIPAL SCHOOLS</v>
      </c>
      <c r="C291" s="135">
        <f t="shared" si="12"/>
        <v>184068</v>
      </c>
      <c r="D291" s="137">
        <f t="shared" si="13"/>
        <v>1.3572996099964732E-3</v>
      </c>
      <c r="E291" s="158"/>
      <c r="F291" s="150">
        <f>VLOOKUP(A291,'OPEB Amounts_Report'!$A$10:$A$319,1,FALSE)</f>
        <v>15049</v>
      </c>
      <c r="G291" s="5">
        <f>VLOOKUP(A291,'Change in Proportion Calc'!$A$5:$A$311,1,FALSE)</f>
        <v>15049</v>
      </c>
      <c r="H291" s="87"/>
    </row>
    <row r="292" spans="1:8">
      <c r="A292" s="12">
        <v>1315</v>
      </c>
      <c r="B292" s="13" t="str">
        <f t="shared" si="14"/>
        <v>TURQUOISE TRAIL CHARTER SCHOOL</v>
      </c>
      <c r="C292" s="136">
        <f t="shared" si="12"/>
        <v>105929</v>
      </c>
      <c r="D292" s="138">
        <f t="shared" si="13"/>
        <v>7.8111018964359044E-4</v>
      </c>
      <c r="E292" s="158"/>
      <c r="F292" s="150">
        <f>VLOOKUP(A292,'OPEB Amounts_Report'!$A$10:$A$319,1,FALSE)</f>
        <v>1315</v>
      </c>
      <c r="G292" s="5">
        <f>VLOOKUP(A292,'Change in Proportion Calc'!$A$5:$A$311,1,FALSE)</f>
        <v>1315</v>
      </c>
      <c r="H292" s="87"/>
    </row>
    <row r="293" spans="1:8">
      <c r="A293" s="10">
        <v>3340</v>
      </c>
      <c r="B293" s="11" t="str">
        <f t="shared" si="14"/>
        <v>UNION COUNTY</v>
      </c>
      <c r="C293" s="135">
        <f t="shared" si="12"/>
        <v>35528</v>
      </c>
      <c r="D293" s="137">
        <f t="shared" si="13"/>
        <v>2.6198003207485659E-4</v>
      </c>
      <c r="E293" s="158"/>
      <c r="F293" s="150">
        <f>VLOOKUP(A293,'OPEB Amounts_Report'!$A$10:$A$319,1,FALSE)</f>
        <v>3340</v>
      </c>
      <c r="G293" s="5">
        <f>VLOOKUP(A293,'Change in Proportion Calc'!$A$5:$A$311,1,FALSE)</f>
        <v>3340</v>
      </c>
      <c r="H293" s="87"/>
    </row>
    <row r="294" spans="1:8">
      <c r="A294" s="12">
        <v>3350</v>
      </c>
      <c r="B294" s="13" t="str">
        <f t="shared" si="14"/>
        <v>VALENCIA COUNTY</v>
      </c>
      <c r="C294" s="136">
        <f t="shared" si="12"/>
        <v>323884</v>
      </c>
      <c r="D294" s="138">
        <f t="shared" si="13"/>
        <v>2.3882892566013522E-3</v>
      </c>
      <c r="E294" s="158"/>
      <c r="F294" s="150">
        <f>VLOOKUP(A294,'OPEB Amounts_Report'!$A$10:$A$319,1,FALSE)</f>
        <v>3350</v>
      </c>
      <c r="G294" s="5">
        <f>VLOOKUP(A294,'Change in Proportion Calc'!$A$5:$A$311,1,FALSE)</f>
        <v>3350</v>
      </c>
      <c r="H294" s="87"/>
    </row>
    <row r="295" spans="1:8">
      <c r="A295" s="10">
        <v>24073</v>
      </c>
      <c r="B295" s="11" t="str">
        <f t="shared" si="14"/>
        <v>VAUGHN MUNICIPAL SCHOOLS</v>
      </c>
      <c r="C295" s="135">
        <f t="shared" si="12"/>
        <v>36338</v>
      </c>
      <c r="D295" s="137">
        <f t="shared" si="13"/>
        <v>2.6795289364828131E-4</v>
      </c>
      <c r="E295" s="158"/>
      <c r="F295" s="150">
        <f>VLOOKUP(A295,'OPEB Amounts_Report'!$A$10:$A$319,1,FALSE)</f>
        <v>24073</v>
      </c>
      <c r="G295" s="5">
        <f>VLOOKUP(A295,'Change in Proportion Calc'!$A$5:$A$311,1,FALSE)</f>
        <v>24073</v>
      </c>
      <c r="H295" s="87"/>
    </row>
    <row r="296" spans="1:8">
      <c r="A296" s="12">
        <v>2100</v>
      </c>
      <c r="B296" s="13" t="str">
        <f t="shared" si="14"/>
        <v>VILLAGE OF BOSQUE FARMS</v>
      </c>
      <c r="C296" s="136">
        <f t="shared" si="12"/>
        <v>32658</v>
      </c>
      <c r="D296" s="138">
        <f t="shared" si="13"/>
        <v>2.4081692995667263E-4</v>
      </c>
      <c r="E296" s="158"/>
      <c r="F296" s="150">
        <f>VLOOKUP(A296,'OPEB Amounts_Report'!$A$10:$A$319,1,FALSE)</f>
        <v>2100</v>
      </c>
      <c r="G296" s="5">
        <f>VLOOKUP(A296,'Change in Proportion Calc'!$A$5:$A$311,1,FALSE)</f>
        <v>2100</v>
      </c>
      <c r="H296" s="87"/>
    </row>
    <row r="297" spans="1:8">
      <c r="A297" s="10">
        <v>2130</v>
      </c>
      <c r="B297" s="11" t="str">
        <f t="shared" si="14"/>
        <v>VILLAGE OF CHAMA</v>
      </c>
      <c r="C297" s="135">
        <f t="shared" si="12"/>
        <v>8436</v>
      </c>
      <c r="D297" s="137">
        <f t="shared" si="13"/>
        <v>6.2206247201742007E-5</v>
      </c>
      <c r="E297" s="158"/>
      <c r="F297" s="150">
        <f>VLOOKUP(A297,'OPEB Amounts_Report'!$A$10:$A$319,1,FALSE)</f>
        <v>2130</v>
      </c>
      <c r="G297" s="5">
        <f>VLOOKUP(A297,'Change in Proportion Calc'!$A$5:$A$311,1,FALSE)</f>
        <v>2130</v>
      </c>
      <c r="H297" s="87"/>
    </row>
    <row r="298" spans="1:8">
      <c r="A298" s="12">
        <v>32099</v>
      </c>
      <c r="B298" s="43" t="str">
        <f t="shared" si="14"/>
        <v>VILLAGE OF FT SUMNER</v>
      </c>
      <c r="C298" s="156">
        <f t="shared" si="12"/>
        <v>15293</v>
      </c>
      <c r="D298" s="140">
        <f t="shared" si="13"/>
        <v>1.1276910128689432E-4</v>
      </c>
      <c r="E298" s="158"/>
      <c r="F298" s="150">
        <f>VLOOKUP(A298,'OPEB Amounts_Report'!$A$10:$A$319,1,FALSE)</f>
        <v>32099</v>
      </c>
      <c r="G298" s="5">
        <f>VLOOKUP(A298,'Change in Proportion Calc'!$A$5:$A$311,1,FALSE)</f>
        <v>32099</v>
      </c>
      <c r="H298" s="87"/>
    </row>
    <row r="299" spans="1:8">
      <c r="A299" s="10">
        <v>32100</v>
      </c>
      <c r="B299" s="11" t="str">
        <f t="shared" si="14"/>
        <v>VILLAGE OF HATCH</v>
      </c>
      <c r="C299" s="135">
        <f t="shared" si="12"/>
        <v>23952</v>
      </c>
      <c r="D299" s="137">
        <f t="shared" si="13"/>
        <v>1.7661972889712239E-4</v>
      </c>
      <c r="E299" s="158"/>
      <c r="F299" s="150">
        <f>VLOOKUP(A299,'OPEB Amounts_Report'!$A$10:$A$319,1,FALSE)</f>
        <v>32100</v>
      </c>
      <c r="G299" s="5">
        <f>VLOOKUP(A299,'Change in Proportion Calc'!$A$5:$A$311,1,FALSE)</f>
        <v>32100</v>
      </c>
      <c r="H299" s="87"/>
    </row>
    <row r="300" spans="1:8">
      <c r="A300" s="12">
        <v>32101</v>
      </c>
      <c r="B300" s="13" t="str">
        <f t="shared" si="14"/>
        <v xml:space="preserve">VILLAGE OF JEMEZ SPRINGS </v>
      </c>
      <c r="C300" s="136">
        <f t="shared" si="12"/>
        <v>7907</v>
      </c>
      <c r="D300" s="138">
        <f t="shared" si="13"/>
        <v>5.8305452421073259E-5</v>
      </c>
      <c r="E300" s="158"/>
      <c r="F300" s="150">
        <f>VLOOKUP(A300,'OPEB Amounts_Report'!$A$10:$A$319,1,FALSE)</f>
        <v>32101</v>
      </c>
      <c r="G300" s="5">
        <f>VLOOKUP(A300,'Change in Proportion Calc'!$A$5:$A$311,1,FALSE)</f>
        <v>32101</v>
      </c>
      <c r="H300" s="87"/>
    </row>
    <row r="301" spans="1:8">
      <c r="A301" s="10">
        <v>32102</v>
      </c>
      <c r="B301" s="11" t="str">
        <f t="shared" si="14"/>
        <v>VILLAGE OF LOGAN</v>
      </c>
      <c r="C301" s="135">
        <f t="shared" si="12"/>
        <v>15264</v>
      </c>
      <c r="D301" s="137">
        <f t="shared" si="13"/>
        <v>1.1255525809475936E-4</v>
      </c>
      <c r="E301" s="158"/>
      <c r="F301" s="150">
        <f>VLOOKUP(A301,'OPEB Amounts_Report'!$A$10:$A$319,1,FALSE)</f>
        <v>32102</v>
      </c>
      <c r="G301" s="5">
        <f>VLOOKUP(A301,'Change in Proportion Calc'!$A$5:$A$311,1,FALSE)</f>
        <v>32102</v>
      </c>
      <c r="H301" s="87"/>
    </row>
    <row r="302" spans="1:8">
      <c r="A302" s="12">
        <v>2880</v>
      </c>
      <c r="B302" s="13" t="str">
        <f t="shared" si="14"/>
        <v>VILLAGE OF MELROSE</v>
      </c>
      <c r="C302" s="136">
        <f t="shared" si="12"/>
        <v>3896</v>
      </c>
      <c r="D302" s="138">
        <f t="shared" si="13"/>
        <v>2.8728726777855244E-5</v>
      </c>
      <c r="E302" s="158"/>
      <c r="F302" s="150">
        <f>VLOOKUP(A302,'OPEB Amounts_Report'!$A$10:$A$319,1,FALSE)</f>
        <v>2880</v>
      </c>
      <c r="G302" s="5">
        <f>VLOOKUP(A302,'Change in Proportion Calc'!$A$5:$A$311,1,FALSE)</f>
        <v>2880</v>
      </c>
      <c r="H302" s="87"/>
    </row>
    <row r="303" spans="1:8">
      <c r="A303" s="10">
        <v>2490</v>
      </c>
      <c r="B303" s="11" t="str">
        <f t="shared" si="14"/>
        <v>VILLAGE OF MILAN</v>
      </c>
      <c r="C303" s="135">
        <f t="shared" si="12"/>
        <v>42963</v>
      </c>
      <c r="D303" s="137">
        <f t="shared" si="13"/>
        <v>3.1680500219635391E-4</v>
      </c>
      <c r="E303" s="158"/>
      <c r="F303" s="150">
        <f>VLOOKUP(A303,'OPEB Amounts_Report'!$A$10:$A$319,1,FALSE)</f>
        <v>2490</v>
      </c>
      <c r="G303" s="5">
        <f>VLOOKUP(A303,'Change in Proportion Calc'!$A$5:$A$311,1,FALSE)</f>
        <v>2490</v>
      </c>
      <c r="H303" s="87"/>
    </row>
    <row r="304" spans="1:8">
      <c r="A304" s="12">
        <v>2530</v>
      </c>
      <c r="B304" s="43" t="str">
        <f t="shared" si="14"/>
        <v>VILLAGE OF PECOS</v>
      </c>
      <c r="C304" s="156">
        <f t="shared" si="12"/>
        <v>9214</v>
      </c>
      <c r="D304" s="140">
        <f t="shared" si="13"/>
        <v>6.7943143873500566E-5</v>
      </c>
      <c r="E304" s="158"/>
      <c r="F304" s="150">
        <f>VLOOKUP(A304,'OPEB Amounts_Report'!$A$10:$A$319,1,FALSE)</f>
        <v>2530</v>
      </c>
      <c r="G304" s="5">
        <f>VLOOKUP(A304,'Change in Proportion Calc'!$A$5:$A$311,1,FALSE)</f>
        <v>2530</v>
      </c>
      <c r="H304" s="87"/>
    </row>
    <row r="305" spans="1:8">
      <c r="A305" s="10">
        <v>2560</v>
      </c>
      <c r="B305" s="11" t="str">
        <f t="shared" si="14"/>
        <v>VILLAGE OF QUESTA</v>
      </c>
      <c r="C305" s="135">
        <f t="shared" si="12"/>
        <v>21327</v>
      </c>
      <c r="D305" s="137">
        <f t="shared" si="13"/>
        <v>1.5726323305732001E-4</v>
      </c>
      <c r="E305" s="158"/>
      <c r="F305" s="150">
        <f>VLOOKUP(A305,'OPEB Amounts_Report'!$A$10:$A$319,1,FALSE)</f>
        <v>2560</v>
      </c>
      <c r="G305" s="5">
        <f>VLOOKUP(A305,'Change in Proportion Calc'!$A$5:$A$311,1,FALSE)</f>
        <v>2560</v>
      </c>
      <c r="H305" s="87"/>
    </row>
    <row r="306" spans="1:8">
      <c r="A306" s="12">
        <v>2610</v>
      </c>
      <c r="B306" s="13" t="str">
        <f t="shared" si="14"/>
        <v>VILLAGE OF RESERVE</v>
      </c>
      <c r="C306" s="136">
        <f t="shared" si="12"/>
        <v>4326</v>
      </c>
      <c r="D306" s="138">
        <f t="shared" si="13"/>
        <v>3.1899505143994302E-5</v>
      </c>
      <c r="E306" s="158"/>
      <c r="F306" s="150">
        <f>VLOOKUP(A306,'OPEB Amounts_Report'!$A$10:$A$319,1,FALSE)</f>
        <v>2610</v>
      </c>
      <c r="G306" s="5">
        <f>VLOOKUP(A306,'Change in Proportion Calc'!$A$5:$A$311,1,FALSE)</f>
        <v>2610</v>
      </c>
      <c r="H306" s="87"/>
    </row>
    <row r="307" spans="1:8">
      <c r="A307" s="10">
        <v>2800</v>
      </c>
      <c r="B307" s="11" t="str">
        <f t="shared" si="14"/>
        <v>VILLAGE OF TIJERAS</v>
      </c>
      <c r="C307" s="135">
        <f t="shared" si="12"/>
        <v>11619</v>
      </c>
      <c r="D307" s="137">
        <f t="shared" si="13"/>
        <v>8.5677381014348069E-5</v>
      </c>
      <c r="E307" s="158"/>
      <c r="F307" s="150">
        <f>VLOOKUP(A307,'OPEB Amounts_Report'!$A$10:$A$319,1,FALSE)</f>
        <v>2800</v>
      </c>
      <c r="G307" s="5">
        <f>VLOOKUP(A307,'Change in Proportion Calc'!$A$5:$A$311,1,FALSE)</f>
        <v>2800</v>
      </c>
      <c r="H307" s="87"/>
    </row>
    <row r="308" spans="1:8">
      <c r="A308" s="12">
        <v>20317</v>
      </c>
      <c r="B308" s="13" t="str">
        <f t="shared" si="14"/>
        <v>VISTA GRANDE CHARTER HIGH SCHOOL</v>
      </c>
      <c r="C308" s="136">
        <f t="shared" si="12"/>
        <v>20316</v>
      </c>
      <c r="D308" s="138">
        <f t="shared" si="13"/>
        <v>1.4980821694530471E-4</v>
      </c>
      <c r="E308" s="158"/>
      <c r="F308" s="150">
        <f>VLOOKUP(A308,'OPEB Amounts_Report'!$A$10:$A$319,1,FALSE)</f>
        <v>20317</v>
      </c>
      <c r="G308" s="5">
        <f>VLOOKUP(A308,'Change in Proportion Calc'!$A$5:$A$311,1,FALSE)</f>
        <v>20317</v>
      </c>
      <c r="H308" s="87"/>
    </row>
    <row r="309" spans="1:8">
      <c r="A309" s="10">
        <v>2442</v>
      </c>
      <c r="B309" s="11" t="str">
        <f t="shared" si="14"/>
        <v>VOZ COLLEGIATE PREP</v>
      </c>
      <c r="C309" s="135">
        <f t="shared" si="12"/>
        <v>24767</v>
      </c>
      <c r="D309" s="137">
        <f t="shared" si="13"/>
        <v>1.8262945998643245E-4</v>
      </c>
      <c r="E309" s="158"/>
      <c r="F309" s="150">
        <f>VLOOKUP(A309,'OPEB Amounts_Report'!$A$10:$A$319,1,FALSE)</f>
        <v>2442</v>
      </c>
      <c r="G309" s="5">
        <f>VLOOKUP(A309,'Change in Proportion Calc'!$A$5:$A$311,1,FALSE)</f>
        <v>2442</v>
      </c>
      <c r="H309" s="87"/>
    </row>
    <row r="310" spans="1:8">
      <c r="A310" s="12">
        <v>30090</v>
      </c>
      <c r="B310" s="13" t="str">
        <f t="shared" si="14"/>
        <v>WAGON MOUND PUBLIC SCHOOLS</v>
      </c>
      <c r="C310" s="136">
        <f t="shared" si="12"/>
        <v>31033</v>
      </c>
      <c r="D310" s="138">
        <f t="shared" si="13"/>
        <v>2.2883433729393784E-4</v>
      </c>
      <c r="E310" s="158"/>
      <c r="F310" s="150">
        <f>VLOOKUP(A310,'OPEB Amounts_Report'!$A$10:$A$319,1,FALSE)</f>
        <v>30090</v>
      </c>
      <c r="G310" s="5">
        <f>VLOOKUP(A310,'Change in Proportion Calc'!$A$5:$A$311,1,FALSE)</f>
        <v>30090</v>
      </c>
      <c r="H310" s="87"/>
    </row>
    <row r="311" spans="1:8">
      <c r="A311" s="10">
        <v>29330</v>
      </c>
      <c r="B311" s="11" t="str">
        <f t="shared" si="14"/>
        <v>WALATOWA CHARTER HIGH SCHOOL</v>
      </c>
      <c r="C311" s="135">
        <f t="shared" si="12"/>
        <v>18535</v>
      </c>
      <c r="D311" s="137">
        <f t="shared" si="13"/>
        <v>1.3667529538694738E-4</v>
      </c>
      <c r="E311" s="158"/>
      <c r="F311" s="150">
        <f>VLOOKUP(A311,'OPEB Amounts_Report'!$A$10:$A$319,1,FALSE)</f>
        <v>29330</v>
      </c>
      <c r="G311" s="5">
        <f>VLOOKUP(A311,'Change in Proportion Calc'!$A$5:$A$311,1,FALSE)</f>
        <v>29330</v>
      </c>
      <c r="H311" s="87"/>
    </row>
    <row r="312" spans="1:8">
      <c r="A312" s="12">
        <v>12038</v>
      </c>
      <c r="B312" s="13" t="str">
        <f t="shared" si="14"/>
        <v>WEST LAS VEGAS PUBLIC SCHOOLS</v>
      </c>
      <c r="C312" s="136">
        <f t="shared" si="12"/>
        <v>301315</v>
      </c>
      <c r="D312" s="138">
        <f t="shared" si="13"/>
        <v>2.2218676357981144E-3</v>
      </c>
      <c r="E312" s="158"/>
      <c r="F312" s="150">
        <f>VLOOKUP(A312,'OPEB Amounts_Report'!$A$10:$A$319,1,FALSE)</f>
        <v>12038</v>
      </c>
      <c r="G312" s="5">
        <f>VLOOKUP(A312,'Change in Proportion Calc'!$A$5:$A$311,1,FALSE)</f>
        <v>12038</v>
      </c>
      <c r="H312" s="87"/>
    </row>
    <row r="313" spans="1:8">
      <c r="A313" s="10">
        <v>8099</v>
      </c>
      <c r="B313" s="11" t="str">
        <f t="shared" si="14"/>
        <v>WESTERN NEW MEXICO UNIVERSITY</v>
      </c>
      <c r="C313" s="135">
        <f>+VLOOKUP(A313,$D$321:$F$628,3,FALSE)</f>
        <v>578122</v>
      </c>
      <c r="D313" s="137">
        <f t="shared" si="13"/>
        <v>4.2630156525326566E-3</v>
      </c>
      <c r="E313" s="158"/>
      <c r="F313" s="150">
        <f>VLOOKUP(A313,'OPEB Amounts_Report'!$A$10:$A$319,1,FALSE)</f>
        <v>8099</v>
      </c>
      <c r="G313" s="5">
        <f>VLOOKUP(A313,'Change in Proportion Calc'!$A$5:$A$311,1,FALSE)</f>
        <v>8099</v>
      </c>
      <c r="H313" s="87"/>
    </row>
    <row r="314" spans="1:8">
      <c r="A314" s="230">
        <v>13142</v>
      </c>
      <c r="B314" s="231" t="str">
        <f t="shared" si="14"/>
        <v>ZUNI PUBLIC SCHOOLS</v>
      </c>
      <c r="C314" s="232">
        <f t="shared" si="12"/>
        <v>331895</v>
      </c>
      <c r="D314" s="233">
        <f t="shared" si="13"/>
        <v>2.4473615949528404E-3</v>
      </c>
      <c r="E314" s="158"/>
      <c r="F314" s="150">
        <f>VLOOKUP(A314,'OPEB Amounts_Report'!$A$10:$A$319,1,FALSE)</f>
        <v>13142</v>
      </c>
      <c r="G314" s="5">
        <f>VLOOKUP(A314,'Change in Proportion Calc'!$A$5:$A$311,1,FALSE)</f>
        <v>13142</v>
      </c>
    </row>
    <row r="315" spans="1:8">
      <c r="A315" s="10"/>
      <c r="B315" s="11"/>
      <c r="C315" s="135"/>
      <c r="D315" s="137"/>
      <c r="E315" s="99"/>
      <c r="F315" s="99"/>
    </row>
    <row r="316" spans="1:8" ht="13.5" thickBot="1">
      <c r="A316" s="18"/>
      <c r="B316" s="21"/>
      <c r="C316" s="143">
        <f>SUM(C9:C315)</f>
        <v>135613389</v>
      </c>
      <c r="D316" s="139">
        <f>SUM(D9:D315)</f>
        <v>1</v>
      </c>
      <c r="E316" s="99"/>
      <c r="F316" s="99"/>
    </row>
    <row r="317" spans="1:8" ht="13.5" thickTop="1">
      <c r="A317" s="18"/>
      <c r="B317" s="21"/>
      <c r="C317" s="151"/>
      <c r="D317" s="20"/>
      <c r="E317" s="99"/>
      <c r="F317" s="99"/>
    </row>
    <row r="318" spans="1:8">
      <c r="A318" s="18"/>
      <c r="B318" s="21"/>
      <c r="E318" s="99"/>
      <c r="F318" s="99"/>
    </row>
    <row r="319" spans="1:8">
      <c r="A319" s="18"/>
      <c r="B319" s="21"/>
      <c r="C319" s="151"/>
      <c r="D319" s="20"/>
      <c r="E319" s="99"/>
      <c r="F319" s="99"/>
    </row>
    <row r="320" spans="1:8">
      <c r="A320" s="18"/>
      <c r="B320" s="21"/>
      <c r="C320" s="151"/>
      <c r="D320" s="20"/>
      <c r="E320" s="99"/>
      <c r="F320" s="99"/>
    </row>
    <row r="321" spans="1:8" ht="15">
      <c r="A321" s="19"/>
      <c r="C321" s="121"/>
      <c r="D321" s="196" t="s">
        <v>450</v>
      </c>
      <c r="E321" s="196" t="s">
        <v>451</v>
      </c>
      <c r="F321" s="200" t="s">
        <v>452</v>
      </c>
    </row>
    <row r="322" spans="1:8" ht="15">
      <c r="C322" t="s">
        <v>478</v>
      </c>
      <c r="D322">
        <v>1341</v>
      </c>
      <c r="E322" t="s">
        <v>473</v>
      </c>
      <c r="F322" s="109">
        <v>34024357</v>
      </c>
      <c r="G322" s="107">
        <f>VLOOKUP(D322,$A$9:$C$314,3,FALSE)</f>
        <v>34024357</v>
      </c>
      <c r="H322" s="108">
        <f>+F322-G322</f>
        <v>0</v>
      </c>
    </row>
    <row r="323" spans="1:8" ht="15">
      <c r="C323"/>
      <c r="D323"/>
      <c r="E323"/>
      <c r="F323"/>
    </row>
    <row r="324" spans="1:8" ht="15">
      <c r="C324" t="s">
        <v>479</v>
      </c>
      <c r="D324">
        <v>2308</v>
      </c>
      <c r="E324" t="s">
        <v>6</v>
      </c>
      <c r="F324" s="109">
        <v>55622</v>
      </c>
      <c r="G324" s="107">
        <f t="shared" ref="G324" si="15">VLOOKUP(D324,$A$9:$C$314,3,FALSE)</f>
        <v>55622</v>
      </c>
      <c r="H324" s="108">
        <f>+F324-G324</f>
        <v>0</v>
      </c>
    </row>
    <row r="325" spans="1:8" ht="15">
      <c r="C325" t="s">
        <v>480</v>
      </c>
      <c r="D325">
        <v>2340</v>
      </c>
      <c r="E325" t="s">
        <v>7</v>
      </c>
      <c r="F325" s="109">
        <v>60494</v>
      </c>
      <c r="G325" s="107">
        <f t="shared" ref="G325:G388" si="16">VLOOKUP(D325,$A$9:$C$314,3,FALSE)</f>
        <v>60494</v>
      </c>
      <c r="H325" s="108">
        <f>+F325-G325</f>
        <v>0</v>
      </c>
    </row>
    <row r="326" spans="1:8" ht="15">
      <c r="C326" t="s">
        <v>481</v>
      </c>
      <c r="D326">
        <v>1301</v>
      </c>
      <c r="E326" t="s">
        <v>8</v>
      </c>
      <c r="F326" s="109">
        <v>67117</v>
      </c>
      <c r="G326" s="107">
        <f t="shared" si="16"/>
        <v>67117</v>
      </c>
      <c r="H326" s="108">
        <f t="shared" ref="H326:H389" si="17">+F326-G326</f>
        <v>0</v>
      </c>
    </row>
    <row r="327" spans="1:8" ht="15">
      <c r="C327" t="s">
        <v>482</v>
      </c>
      <c r="D327">
        <v>2390</v>
      </c>
      <c r="E327" t="s">
        <v>9</v>
      </c>
      <c r="F327" s="109">
        <v>50374</v>
      </c>
      <c r="G327" s="107">
        <f t="shared" si="16"/>
        <v>50374</v>
      </c>
      <c r="H327" s="108">
        <f t="shared" si="17"/>
        <v>0</v>
      </c>
    </row>
    <row r="328" spans="1:8" ht="15">
      <c r="C328" t="s">
        <v>483</v>
      </c>
      <c r="D328">
        <v>2441</v>
      </c>
      <c r="E328" t="s">
        <v>408</v>
      </c>
      <c r="F328" s="109">
        <v>29199</v>
      </c>
      <c r="G328" s="107">
        <f t="shared" si="16"/>
        <v>29199</v>
      </c>
      <c r="H328" s="108">
        <f t="shared" si="17"/>
        <v>0</v>
      </c>
    </row>
    <row r="329" spans="1:8" ht="15">
      <c r="C329" t="s">
        <v>484</v>
      </c>
      <c r="D329">
        <v>15046</v>
      </c>
      <c r="E329" t="s">
        <v>10</v>
      </c>
      <c r="F329" s="109">
        <v>1015140</v>
      </c>
      <c r="G329" s="107">
        <f t="shared" si="16"/>
        <v>1015140</v>
      </c>
      <c r="H329" s="108">
        <f t="shared" si="17"/>
        <v>0</v>
      </c>
    </row>
    <row r="330" spans="1:8" ht="15">
      <c r="C330" t="s">
        <v>485</v>
      </c>
      <c r="D330">
        <v>2420</v>
      </c>
      <c r="E330" t="s">
        <v>916</v>
      </c>
      <c r="F330" s="109">
        <v>36746</v>
      </c>
      <c r="G330" s="107">
        <f t="shared" si="16"/>
        <v>36746</v>
      </c>
      <c r="H330" s="108">
        <f t="shared" si="17"/>
        <v>0</v>
      </c>
    </row>
    <row r="331" spans="1:8" ht="15">
      <c r="C331" t="s">
        <v>486</v>
      </c>
      <c r="D331">
        <v>4380</v>
      </c>
      <c r="E331" t="s">
        <v>11</v>
      </c>
      <c r="F331" s="109">
        <v>814491</v>
      </c>
      <c r="G331" s="107">
        <f t="shared" si="16"/>
        <v>814491</v>
      </c>
      <c r="H331" s="108">
        <f t="shared" si="17"/>
        <v>0</v>
      </c>
    </row>
    <row r="332" spans="1:8" ht="15">
      <c r="C332" t="s">
        <v>487</v>
      </c>
      <c r="D332">
        <v>2343</v>
      </c>
      <c r="E332" t="s">
        <v>409</v>
      </c>
      <c r="F332" s="109">
        <v>59660</v>
      </c>
      <c r="G332" s="107">
        <f t="shared" si="16"/>
        <v>59660</v>
      </c>
      <c r="H332" s="108">
        <f t="shared" si="17"/>
        <v>0</v>
      </c>
    </row>
    <row r="333" spans="1:8" ht="15">
      <c r="C333" t="s">
        <v>488</v>
      </c>
      <c r="D333">
        <v>2435</v>
      </c>
      <c r="E333" t="s">
        <v>391</v>
      </c>
      <c r="F333" s="109">
        <v>36949</v>
      </c>
      <c r="G333" s="107">
        <f t="shared" si="16"/>
        <v>36949</v>
      </c>
      <c r="H333" s="108">
        <f t="shared" si="17"/>
        <v>0</v>
      </c>
    </row>
    <row r="334" spans="1:8" ht="15">
      <c r="C334" t="s">
        <v>489</v>
      </c>
      <c r="D334">
        <v>4560</v>
      </c>
      <c r="E334" t="s">
        <v>12</v>
      </c>
      <c r="F334" s="109">
        <v>71558</v>
      </c>
      <c r="G334" s="107">
        <f t="shared" si="16"/>
        <v>71558</v>
      </c>
      <c r="H334" s="108">
        <f t="shared" si="17"/>
        <v>0</v>
      </c>
    </row>
    <row r="335" spans="1:8" ht="15">
      <c r="C335" t="s">
        <v>490</v>
      </c>
      <c r="D335">
        <v>2341</v>
      </c>
      <c r="E335" t="s">
        <v>406</v>
      </c>
      <c r="F335" s="109">
        <v>45189</v>
      </c>
      <c r="G335" s="107">
        <f t="shared" si="16"/>
        <v>45189</v>
      </c>
      <c r="H335" s="108">
        <f t="shared" si="17"/>
        <v>0</v>
      </c>
    </row>
    <row r="336" spans="1:8" ht="15">
      <c r="C336" t="s">
        <v>491</v>
      </c>
      <c r="D336">
        <v>4580</v>
      </c>
      <c r="E336" t="s">
        <v>392</v>
      </c>
      <c r="F336" s="109">
        <v>45586</v>
      </c>
      <c r="G336" s="107">
        <f t="shared" si="16"/>
        <v>45586</v>
      </c>
      <c r="H336" s="108">
        <f t="shared" si="17"/>
        <v>0</v>
      </c>
    </row>
    <row r="337" spans="3:8" ht="15">
      <c r="C337" t="s">
        <v>492</v>
      </c>
      <c r="D337">
        <v>2003</v>
      </c>
      <c r="E337" t="s">
        <v>13</v>
      </c>
      <c r="F337" s="109">
        <v>14312322</v>
      </c>
      <c r="G337" s="107">
        <f t="shared" si="16"/>
        <v>14312322</v>
      </c>
      <c r="H337" s="108">
        <f t="shared" si="17"/>
        <v>0</v>
      </c>
    </row>
    <row r="338" spans="3:8" ht="15">
      <c r="C338" t="s">
        <v>493</v>
      </c>
      <c r="D338">
        <v>2412</v>
      </c>
      <c r="E338" t="s">
        <v>14</v>
      </c>
      <c r="F338" s="109">
        <v>150163</v>
      </c>
      <c r="G338" s="107">
        <f t="shared" si="16"/>
        <v>150163</v>
      </c>
      <c r="H338" s="108">
        <f t="shared" si="17"/>
        <v>0</v>
      </c>
    </row>
    <row r="339" spans="3:8" ht="15">
      <c r="C339" t="s">
        <v>494</v>
      </c>
      <c r="D339">
        <v>2402</v>
      </c>
      <c r="E339" t="s">
        <v>15</v>
      </c>
      <c r="F339" s="109">
        <v>77318</v>
      </c>
      <c r="G339" s="107">
        <f t="shared" si="16"/>
        <v>77318</v>
      </c>
      <c r="H339" s="108">
        <f t="shared" si="17"/>
        <v>0</v>
      </c>
    </row>
    <row r="340" spans="3:8" ht="15">
      <c r="C340" t="s">
        <v>495</v>
      </c>
      <c r="D340">
        <v>2361</v>
      </c>
      <c r="E340" t="s">
        <v>16</v>
      </c>
      <c r="F340" s="109">
        <v>22635</v>
      </c>
      <c r="G340" s="107">
        <f t="shared" si="16"/>
        <v>22635</v>
      </c>
      <c r="H340" s="108">
        <f t="shared" si="17"/>
        <v>0</v>
      </c>
    </row>
    <row r="341" spans="3:8" ht="15">
      <c r="C341" t="s">
        <v>496</v>
      </c>
      <c r="D341">
        <v>8347</v>
      </c>
      <c r="E341" t="s">
        <v>17</v>
      </c>
      <c r="F341" s="109">
        <v>35424</v>
      </c>
      <c r="G341" s="107">
        <f t="shared" si="16"/>
        <v>35424</v>
      </c>
      <c r="H341" s="108">
        <f t="shared" si="17"/>
        <v>0</v>
      </c>
    </row>
    <row r="342" spans="3:8" ht="15">
      <c r="C342" t="s">
        <v>497</v>
      </c>
      <c r="D342">
        <v>2356</v>
      </c>
      <c r="E342" t="s">
        <v>18</v>
      </c>
      <c r="F342" s="109">
        <v>78038</v>
      </c>
      <c r="G342" s="107">
        <f t="shared" si="16"/>
        <v>78038</v>
      </c>
      <c r="H342" s="108">
        <f t="shared" si="17"/>
        <v>0</v>
      </c>
    </row>
    <row r="343" spans="3:8" ht="15">
      <c r="C343" t="s">
        <v>498</v>
      </c>
      <c r="D343">
        <v>7335</v>
      </c>
      <c r="E343" t="s">
        <v>19</v>
      </c>
      <c r="F343" s="109">
        <v>18626</v>
      </c>
      <c r="G343" s="107">
        <f t="shared" si="16"/>
        <v>18626</v>
      </c>
      <c r="H343" s="108">
        <f t="shared" si="17"/>
        <v>0</v>
      </c>
    </row>
    <row r="344" spans="3:8" ht="15">
      <c r="C344" t="s">
        <v>499</v>
      </c>
      <c r="D344">
        <v>2434</v>
      </c>
      <c r="E344" t="s">
        <v>474</v>
      </c>
      <c r="F344" s="109">
        <v>31559</v>
      </c>
      <c r="G344" s="107">
        <f t="shared" si="16"/>
        <v>31559</v>
      </c>
      <c r="H344" s="108">
        <f t="shared" si="17"/>
        <v>0</v>
      </c>
    </row>
    <row r="345" spans="3:8" ht="15">
      <c r="C345" t="s">
        <v>500</v>
      </c>
      <c r="D345">
        <v>2303</v>
      </c>
      <c r="E345" t="s">
        <v>20</v>
      </c>
      <c r="F345" s="109">
        <v>45140</v>
      </c>
      <c r="G345" s="107">
        <f t="shared" si="16"/>
        <v>45140</v>
      </c>
      <c r="H345" s="108">
        <f t="shared" si="17"/>
        <v>0</v>
      </c>
    </row>
    <row r="346" spans="3:8" ht="15">
      <c r="C346" t="s">
        <v>501</v>
      </c>
      <c r="D346">
        <v>20316</v>
      </c>
      <c r="E346" t="s">
        <v>21</v>
      </c>
      <c r="F346" s="109">
        <v>35347</v>
      </c>
      <c r="G346" s="107">
        <f t="shared" si="16"/>
        <v>35347</v>
      </c>
      <c r="H346" s="108">
        <f t="shared" si="17"/>
        <v>0</v>
      </c>
    </row>
    <row r="347" spans="3:8" ht="15">
      <c r="C347" t="s">
        <v>502</v>
      </c>
      <c r="D347">
        <v>23121</v>
      </c>
      <c r="E347" t="s">
        <v>22</v>
      </c>
      <c r="F347" s="109">
        <v>45509</v>
      </c>
      <c r="G347" s="107">
        <f t="shared" si="16"/>
        <v>45509</v>
      </c>
      <c r="H347" s="108">
        <f t="shared" si="17"/>
        <v>0</v>
      </c>
    </row>
    <row r="348" spans="3:8" ht="15">
      <c r="C348" t="s">
        <v>503</v>
      </c>
      <c r="D348">
        <v>2322</v>
      </c>
      <c r="E348" t="s">
        <v>917</v>
      </c>
      <c r="F348" s="109">
        <v>25823</v>
      </c>
      <c r="G348" s="107">
        <f t="shared" si="16"/>
        <v>25823</v>
      </c>
      <c r="H348" s="108">
        <f t="shared" si="17"/>
        <v>0</v>
      </c>
    </row>
    <row r="349" spans="3:8" ht="15">
      <c r="C349" t="s">
        <v>504</v>
      </c>
      <c r="D349">
        <v>3004</v>
      </c>
      <c r="E349" t="s">
        <v>23</v>
      </c>
      <c r="F349" s="109">
        <v>620313</v>
      </c>
      <c r="G349" s="107">
        <f t="shared" si="16"/>
        <v>620313</v>
      </c>
      <c r="H349" s="108">
        <f t="shared" si="17"/>
        <v>0</v>
      </c>
    </row>
    <row r="350" spans="3:8" ht="15">
      <c r="C350" t="s">
        <v>505</v>
      </c>
      <c r="D350">
        <v>16050</v>
      </c>
      <c r="E350" t="s">
        <v>24</v>
      </c>
      <c r="F350" s="109">
        <v>407778</v>
      </c>
      <c r="G350" s="107">
        <f t="shared" si="16"/>
        <v>407778</v>
      </c>
      <c r="H350" s="108">
        <f t="shared" si="17"/>
        <v>0</v>
      </c>
    </row>
    <row r="351" spans="3:8" ht="15">
      <c r="C351" t="s">
        <v>506</v>
      </c>
      <c r="D351">
        <v>14043</v>
      </c>
      <c r="E351" t="s">
        <v>25</v>
      </c>
      <c r="F351" s="109">
        <v>622012</v>
      </c>
      <c r="G351" s="107">
        <f t="shared" si="16"/>
        <v>622012</v>
      </c>
      <c r="H351" s="108">
        <f t="shared" si="17"/>
        <v>0</v>
      </c>
    </row>
    <row r="352" spans="3:8" ht="15">
      <c r="C352" t="s">
        <v>507</v>
      </c>
      <c r="D352" t="s">
        <v>506</v>
      </c>
      <c r="E352" t="s">
        <v>26</v>
      </c>
      <c r="F352" s="109">
        <v>4224329</v>
      </c>
      <c r="G352" s="107">
        <f t="shared" si="16"/>
        <v>4224329</v>
      </c>
      <c r="H352" s="108">
        <f t="shared" si="17"/>
        <v>0</v>
      </c>
    </row>
    <row r="353" spans="3:8" ht="15">
      <c r="C353" t="s">
        <v>508</v>
      </c>
      <c r="D353">
        <v>29086</v>
      </c>
      <c r="E353" t="s">
        <v>27</v>
      </c>
      <c r="F353" s="109">
        <v>670642</v>
      </c>
      <c r="G353" s="107">
        <f t="shared" si="16"/>
        <v>670642</v>
      </c>
      <c r="H353" s="108">
        <f t="shared" si="17"/>
        <v>0</v>
      </c>
    </row>
    <row r="354" spans="3:8" ht="15">
      <c r="C354" t="s">
        <v>509</v>
      </c>
      <c r="D354">
        <v>16051</v>
      </c>
      <c r="E354" t="s">
        <v>28</v>
      </c>
      <c r="F354" s="109">
        <v>486463</v>
      </c>
      <c r="G354" s="107">
        <f t="shared" si="16"/>
        <v>486463</v>
      </c>
      <c r="H354" s="108">
        <f t="shared" si="17"/>
        <v>0</v>
      </c>
    </row>
    <row r="355" spans="3:8" ht="15">
      <c r="C355" t="s">
        <v>510</v>
      </c>
      <c r="D355">
        <v>26077</v>
      </c>
      <c r="E355" t="s">
        <v>29</v>
      </c>
      <c r="F355" s="109">
        <v>103236</v>
      </c>
      <c r="G355" s="107">
        <f t="shared" si="16"/>
        <v>103236</v>
      </c>
      <c r="H355" s="108">
        <f t="shared" si="17"/>
        <v>0</v>
      </c>
    </row>
    <row r="356" spans="3:8" ht="15">
      <c r="C356" t="s">
        <v>511</v>
      </c>
      <c r="D356">
        <v>3005</v>
      </c>
      <c r="E356" t="s">
        <v>30</v>
      </c>
      <c r="F356" s="109">
        <v>1204741</v>
      </c>
      <c r="G356" s="107">
        <f t="shared" si="16"/>
        <v>1204741</v>
      </c>
      <c r="H356" s="108">
        <f t="shared" si="17"/>
        <v>0</v>
      </c>
    </row>
    <row r="357" spans="3:8" ht="15">
      <c r="C357" t="s">
        <v>512</v>
      </c>
      <c r="D357">
        <v>26078</v>
      </c>
      <c r="E357" t="s">
        <v>31</v>
      </c>
      <c r="F357" s="109">
        <v>40229</v>
      </c>
      <c r="G357" s="107">
        <f t="shared" si="16"/>
        <v>40229</v>
      </c>
      <c r="H357" s="108">
        <f t="shared" si="17"/>
        <v>0</v>
      </c>
    </row>
    <row r="358" spans="3:8" ht="15">
      <c r="C358" t="s">
        <v>513</v>
      </c>
      <c r="D358">
        <v>16053</v>
      </c>
      <c r="E358" t="s">
        <v>32</v>
      </c>
      <c r="F358" s="109">
        <v>1181565</v>
      </c>
      <c r="G358" s="107">
        <f t="shared" si="16"/>
        <v>1181565</v>
      </c>
      <c r="H358" s="108">
        <f t="shared" si="17"/>
        <v>0</v>
      </c>
    </row>
    <row r="359" spans="3:8" ht="15">
      <c r="C359" t="s">
        <v>514</v>
      </c>
      <c r="D359">
        <v>2123</v>
      </c>
      <c r="E359" t="s">
        <v>33</v>
      </c>
      <c r="F359" s="109">
        <v>2142291</v>
      </c>
      <c r="G359" s="107">
        <f t="shared" si="16"/>
        <v>2142291</v>
      </c>
      <c r="H359" s="108">
        <f t="shared" si="17"/>
        <v>0</v>
      </c>
    </row>
    <row r="360" spans="3:8" ht="15">
      <c r="C360" t="s">
        <v>515</v>
      </c>
      <c r="D360">
        <v>2150</v>
      </c>
      <c r="E360" t="s">
        <v>34</v>
      </c>
      <c r="F360" s="109">
        <v>188293</v>
      </c>
      <c r="G360" s="107">
        <f t="shared" si="16"/>
        <v>188293</v>
      </c>
      <c r="H360" s="108">
        <f t="shared" si="17"/>
        <v>0</v>
      </c>
    </row>
    <row r="361" spans="3:8" ht="15">
      <c r="C361" t="s">
        <v>516</v>
      </c>
      <c r="D361">
        <v>2336</v>
      </c>
      <c r="E361" t="s">
        <v>35</v>
      </c>
      <c r="F361" s="109">
        <v>34147</v>
      </c>
      <c r="G361" s="107">
        <f t="shared" si="16"/>
        <v>34147</v>
      </c>
      <c r="H361" s="108">
        <f t="shared" si="17"/>
        <v>0</v>
      </c>
    </row>
    <row r="362" spans="3:8" ht="15">
      <c r="C362" t="s">
        <v>517</v>
      </c>
      <c r="D362">
        <v>17126</v>
      </c>
      <c r="E362" t="s">
        <v>36</v>
      </c>
      <c r="F362" s="109">
        <v>93337</v>
      </c>
      <c r="G362" s="107">
        <f t="shared" si="16"/>
        <v>93337</v>
      </c>
      <c r="H362" s="108">
        <f t="shared" si="17"/>
        <v>0</v>
      </c>
    </row>
    <row r="363" spans="3:8" ht="15">
      <c r="C363" t="s">
        <v>518</v>
      </c>
      <c r="D363">
        <v>3030</v>
      </c>
      <c r="E363" t="s">
        <v>37</v>
      </c>
      <c r="F363" s="109">
        <v>258770</v>
      </c>
      <c r="G363" s="107">
        <f t="shared" si="16"/>
        <v>258770</v>
      </c>
      <c r="H363" s="108">
        <f t="shared" si="17"/>
        <v>0</v>
      </c>
    </row>
    <row r="364" spans="3:8" ht="15">
      <c r="C364" t="s">
        <v>519</v>
      </c>
      <c r="D364">
        <v>2353</v>
      </c>
      <c r="E364" t="s">
        <v>38</v>
      </c>
      <c r="F364" s="109">
        <v>115745</v>
      </c>
      <c r="G364" s="107">
        <f t="shared" si="16"/>
        <v>115745</v>
      </c>
      <c r="H364" s="108">
        <f t="shared" si="17"/>
        <v>0</v>
      </c>
    </row>
    <row r="365" spans="3:8" ht="15">
      <c r="C365" t="s">
        <v>520</v>
      </c>
      <c r="D365">
        <v>3040</v>
      </c>
      <c r="E365" t="s">
        <v>39</v>
      </c>
      <c r="F365" s="109">
        <v>114865</v>
      </c>
      <c r="G365" s="107">
        <f t="shared" si="16"/>
        <v>114865</v>
      </c>
      <c r="H365" s="108">
        <f t="shared" si="17"/>
        <v>0</v>
      </c>
    </row>
    <row r="366" spans="3:8" ht="15">
      <c r="C366" t="s">
        <v>521</v>
      </c>
      <c r="D366">
        <v>2367</v>
      </c>
      <c r="E366" t="s">
        <v>40</v>
      </c>
      <c r="F366" s="109">
        <v>75875</v>
      </c>
      <c r="G366" s="107">
        <f t="shared" si="16"/>
        <v>75875</v>
      </c>
      <c r="H366" s="108">
        <f t="shared" si="17"/>
        <v>0</v>
      </c>
    </row>
    <row r="367" spans="3:8" ht="15">
      <c r="C367" t="s">
        <v>522</v>
      </c>
      <c r="D367">
        <v>9027</v>
      </c>
      <c r="E367" t="s">
        <v>41</v>
      </c>
      <c r="F367" s="109">
        <v>87835</v>
      </c>
      <c r="G367" s="107">
        <f t="shared" si="16"/>
        <v>87835</v>
      </c>
      <c r="H367" s="108">
        <f t="shared" si="17"/>
        <v>0</v>
      </c>
    </row>
    <row r="368" spans="3:8" ht="15">
      <c r="C368" t="s">
        <v>523</v>
      </c>
      <c r="D368">
        <v>2010</v>
      </c>
      <c r="E368" t="s">
        <v>42</v>
      </c>
      <c r="F368" s="109">
        <v>337541</v>
      </c>
      <c r="G368" s="107">
        <f t="shared" si="16"/>
        <v>337541</v>
      </c>
      <c r="H368" s="108">
        <f t="shared" si="17"/>
        <v>0</v>
      </c>
    </row>
    <row r="369" spans="3:8" ht="15">
      <c r="C369" t="s">
        <v>524</v>
      </c>
      <c r="D369">
        <v>2020</v>
      </c>
      <c r="E369" t="s">
        <v>43</v>
      </c>
      <c r="F369" s="109">
        <v>8878549</v>
      </c>
      <c r="G369" s="107">
        <f t="shared" si="16"/>
        <v>8878549</v>
      </c>
      <c r="H369" s="108">
        <f t="shared" si="17"/>
        <v>0</v>
      </c>
    </row>
    <row r="370" spans="3:8" ht="15">
      <c r="C370" t="s">
        <v>525</v>
      </c>
      <c r="D370">
        <v>2040</v>
      </c>
      <c r="E370" t="s">
        <v>44</v>
      </c>
      <c r="F370" s="109">
        <v>118601</v>
      </c>
      <c r="G370" s="107">
        <f t="shared" si="16"/>
        <v>118601</v>
      </c>
      <c r="H370" s="108">
        <f t="shared" si="17"/>
        <v>0</v>
      </c>
    </row>
    <row r="371" spans="3:8" ht="15">
      <c r="C371" t="s">
        <v>526</v>
      </c>
      <c r="D371">
        <v>2060</v>
      </c>
      <c r="E371" t="s">
        <v>45</v>
      </c>
      <c r="F371" s="109">
        <v>175690</v>
      </c>
      <c r="G371" s="107">
        <f t="shared" si="16"/>
        <v>175690</v>
      </c>
      <c r="H371" s="108">
        <f t="shared" si="17"/>
        <v>0</v>
      </c>
    </row>
    <row r="372" spans="3:8" ht="15">
      <c r="C372" t="s">
        <v>527</v>
      </c>
      <c r="D372">
        <v>2090</v>
      </c>
      <c r="E372" t="s">
        <v>46</v>
      </c>
      <c r="F372" s="109">
        <v>103297</v>
      </c>
      <c r="G372" s="107">
        <f t="shared" si="16"/>
        <v>103297</v>
      </c>
      <c r="H372" s="108">
        <f t="shared" si="17"/>
        <v>0</v>
      </c>
    </row>
    <row r="373" spans="3:8" ht="15">
      <c r="C373" t="s">
        <v>528</v>
      </c>
      <c r="D373">
        <v>2110</v>
      </c>
      <c r="E373" t="s">
        <v>47</v>
      </c>
      <c r="F373" s="109">
        <v>721361</v>
      </c>
      <c r="G373" s="107">
        <f t="shared" si="16"/>
        <v>721361</v>
      </c>
      <c r="H373" s="108">
        <f t="shared" si="17"/>
        <v>0</v>
      </c>
    </row>
    <row r="374" spans="3:8" ht="15">
      <c r="C374" t="s">
        <v>529</v>
      </c>
      <c r="D374">
        <v>2180</v>
      </c>
      <c r="E374" t="s">
        <v>48</v>
      </c>
      <c r="F374" s="109">
        <v>347552</v>
      </c>
      <c r="G374" s="107">
        <f t="shared" si="16"/>
        <v>347552</v>
      </c>
      <c r="H374" s="108">
        <f t="shared" si="17"/>
        <v>0</v>
      </c>
    </row>
    <row r="375" spans="3:8" ht="15">
      <c r="C375" t="s">
        <v>530</v>
      </c>
      <c r="D375">
        <v>2210</v>
      </c>
      <c r="E375" t="s">
        <v>49</v>
      </c>
      <c r="F375" s="109">
        <v>166441</v>
      </c>
      <c r="G375" s="107">
        <f t="shared" si="16"/>
        <v>166441</v>
      </c>
      <c r="H375" s="108">
        <f t="shared" si="17"/>
        <v>0</v>
      </c>
    </row>
    <row r="376" spans="3:8" ht="15">
      <c r="C376" t="s">
        <v>531</v>
      </c>
      <c r="D376">
        <v>2290</v>
      </c>
      <c r="E376" t="s">
        <v>50</v>
      </c>
      <c r="F376" s="109">
        <v>179350</v>
      </c>
      <c r="G376" s="107">
        <f t="shared" si="16"/>
        <v>179350</v>
      </c>
      <c r="H376" s="108">
        <f t="shared" si="17"/>
        <v>0</v>
      </c>
    </row>
    <row r="377" spans="3:8" ht="15">
      <c r="C377" t="s">
        <v>532</v>
      </c>
      <c r="D377">
        <v>2310</v>
      </c>
      <c r="E377" t="s">
        <v>51</v>
      </c>
      <c r="F377" s="109">
        <v>1140871</v>
      </c>
      <c r="G377" s="107">
        <f t="shared" si="16"/>
        <v>1140871</v>
      </c>
      <c r="H377" s="108">
        <f t="shared" si="17"/>
        <v>0</v>
      </c>
    </row>
    <row r="378" spans="3:8" ht="15">
      <c r="C378" t="s">
        <v>533</v>
      </c>
      <c r="D378">
        <v>2330</v>
      </c>
      <c r="E378" t="s">
        <v>52</v>
      </c>
      <c r="F378" s="109">
        <v>442849</v>
      </c>
      <c r="G378" s="107">
        <f t="shared" si="16"/>
        <v>442849</v>
      </c>
      <c r="H378" s="108">
        <f t="shared" si="17"/>
        <v>0</v>
      </c>
    </row>
    <row r="379" spans="3:8" ht="15">
      <c r="C379" t="s">
        <v>534</v>
      </c>
      <c r="D379">
        <v>2380</v>
      </c>
      <c r="E379" t="s">
        <v>53</v>
      </c>
      <c r="F379" s="109">
        <v>70131</v>
      </c>
      <c r="G379" s="107">
        <f t="shared" si="16"/>
        <v>70131</v>
      </c>
      <c r="H379" s="108">
        <f t="shared" si="17"/>
        <v>0</v>
      </c>
    </row>
    <row r="380" spans="3:8" ht="15">
      <c r="C380" t="s">
        <v>535</v>
      </c>
      <c r="D380">
        <v>2400</v>
      </c>
      <c r="E380" t="s">
        <v>54</v>
      </c>
      <c r="F380" s="109">
        <v>2154182</v>
      </c>
      <c r="G380" s="107">
        <f t="shared" si="16"/>
        <v>2154182</v>
      </c>
      <c r="H380" s="108">
        <f t="shared" si="17"/>
        <v>0</v>
      </c>
    </row>
    <row r="381" spans="3:8" ht="15">
      <c r="C381" t="s">
        <v>536</v>
      </c>
      <c r="D381">
        <v>2410</v>
      </c>
      <c r="E381" t="s">
        <v>55</v>
      </c>
      <c r="F381" s="109">
        <v>236518</v>
      </c>
      <c r="G381" s="107">
        <f t="shared" si="16"/>
        <v>236518</v>
      </c>
      <c r="H381" s="108">
        <f t="shared" si="17"/>
        <v>0</v>
      </c>
    </row>
    <row r="382" spans="3:8" ht="15">
      <c r="C382" t="s">
        <v>537</v>
      </c>
      <c r="D382">
        <v>2500</v>
      </c>
      <c r="E382" t="s">
        <v>56</v>
      </c>
      <c r="F382" s="109">
        <v>40239</v>
      </c>
      <c r="G382" s="107">
        <f t="shared" si="16"/>
        <v>40239</v>
      </c>
      <c r="H382" s="108">
        <f t="shared" si="17"/>
        <v>0</v>
      </c>
    </row>
    <row r="383" spans="3:8" ht="15">
      <c r="C383" t="s">
        <v>538</v>
      </c>
      <c r="D383">
        <v>2550</v>
      </c>
      <c r="E383" t="s">
        <v>57</v>
      </c>
      <c r="F383" s="109">
        <v>146451</v>
      </c>
      <c r="G383" s="107">
        <f t="shared" si="16"/>
        <v>146451</v>
      </c>
      <c r="H383" s="108">
        <f t="shared" si="17"/>
        <v>0</v>
      </c>
    </row>
    <row r="384" spans="3:8" ht="15">
      <c r="C384" t="s">
        <v>539</v>
      </c>
      <c r="D384">
        <v>2570</v>
      </c>
      <c r="E384" t="s">
        <v>58</v>
      </c>
      <c r="F384" s="109">
        <v>99131</v>
      </c>
      <c r="G384" s="107">
        <f t="shared" si="16"/>
        <v>99131</v>
      </c>
      <c r="H384" s="108">
        <f t="shared" si="17"/>
        <v>0</v>
      </c>
    </row>
    <row r="385" spans="3:8" ht="15">
      <c r="C385" t="s">
        <v>540</v>
      </c>
      <c r="D385">
        <v>2620</v>
      </c>
      <c r="E385" t="s">
        <v>59</v>
      </c>
      <c r="F385" s="109">
        <v>980023</v>
      </c>
      <c r="G385" s="107">
        <f t="shared" si="16"/>
        <v>980023</v>
      </c>
      <c r="H385" s="108">
        <f t="shared" si="17"/>
        <v>0</v>
      </c>
    </row>
    <row r="386" spans="3:8" ht="15">
      <c r="C386" t="s">
        <v>541</v>
      </c>
      <c r="D386">
        <v>2630</v>
      </c>
      <c r="E386" t="s">
        <v>60</v>
      </c>
      <c r="F386" s="109">
        <v>681670</v>
      </c>
      <c r="G386" s="107">
        <f t="shared" si="16"/>
        <v>681670</v>
      </c>
      <c r="H386" s="108">
        <f t="shared" si="17"/>
        <v>0</v>
      </c>
    </row>
    <row r="387" spans="3:8" ht="15">
      <c r="C387" t="s">
        <v>542</v>
      </c>
      <c r="D387">
        <v>2690</v>
      </c>
      <c r="E387" t="s">
        <v>61</v>
      </c>
      <c r="F387" s="109">
        <v>1903755</v>
      </c>
      <c r="G387" s="107">
        <f t="shared" si="16"/>
        <v>1903755</v>
      </c>
      <c r="H387" s="108">
        <f t="shared" si="17"/>
        <v>0</v>
      </c>
    </row>
    <row r="388" spans="3:8" ht="15">
      <c r="C388" t="s">
        <v>543</v>
      </c>
      <c r="D388">
        <v>2710</v>
      </c>
      <c r="E388" t="s">
        <v>62</v>
      </c>
      <c r="F388" s="109">
        <v>14800</v>
      </c>
      <c r="G388" s="107">
        <f t="shared" si="16"/>
        <v>14800</v>
      </c>
      <c r="H388" s="108">
        <f t="shared" si="17"/>
        <v>0</v>
      </c>
    </row>
    <row r="389" spans="3:8" ht="15">
      <c r="C389" t="s">
        <v>544</v>
      </c>
      <c r="D389">
        <v>2730</v>
      </c>
      <c r="E389" t="s">
        <v>63</v>
      </c>
      <c r="F389" s="109">
        <v>159040</v>
      </c>
      <c r="G389" s="107">
        <f t="shared" ref="G389:G452" si="18">VLOOKUP(D389,$A$9:$C$314,3,FALSE)</f>
        <v>159040</v>
      </c>
      <c r="H389" s="108">
        <f t="shared" si="17"/>
        <v>0</v>
      </c>
    </row>
    <row r="390" spans="3:8" ht="15">
      <c r="C390" t="s">
        <v>545</v>
      </c>
      <c r="D390">
        <v>2950</v>
      </c>
      <c r="E390" t="s">
        <v>64</v>
      </c>
      <c r="F390" s="109">
        <v>131630</v>
      </c>
      <c r="G390" s="107">
        <f t="shared" si="18"/>
        <v>131630</v>
      </c>
      <c r="H390" s="108">
        <f t="shared" ref="H390:H453" si="19">+F390-G390</f>
        <v>0</v>
      </c>
    </row>
    <row r="391" spans="3:8" ht="15">
      <c r="C391" t="s">
        <v>546</v>
      </c>
      <c r="D391">
        <v>2760</v>
      </c>
      <c r="E391" t="s">
        <v>65</v>
      </c>
      <c r="F391" s="109">
        <v>89710</v>
      </c>
      <c r="G391" s="107">
        <f t="shared" si="18"/>
        <v>89710</v>
      </c>
      <c r="H391" s="108">
        <f t="shared" si="19"/>
        <v>0</v>
      </c>
    </row>
    <row r="392" spans="3:8" ht="15">
      <c r="C392" t="s">
        <v>547</v>
      </c>
      <c r="D392">
        <v>2780</v>
      </c>
      <c r="E392" t="s">
        <v>66</v>
      </c>
      <c r="F392" s="109">
        <v>10038</v>
      </c>
      <c r="G392" s="107">
        <f t="shared" si="18"/>
        <v>10038</v>
      </c>
      <c r="H392" s="108">
        <f t="shared" si="19"/>
        <v>0</v>
      </c>
    </row>
    <row r="393" spans="3:8" ht="15">
      <c r="C393" t="s">
        <v>548</v>
      </c>
      <c r="D393">
        <v>2810</v>
      </c>
      <c r="E393" t="s">
        <v>67</v>
      </c>
      <c r="F393" s="109">
        <v>68229</v>
      </c>
      <c r="G393" s="107">
        <f t="shared" si="18"/>
        <v>68229</v>
      </c>
      <c r="H393" s="108">
        <f t="shared" si="19"/>
        <v>0</v>
      </c>
    </row>
    <row r="394" spans="3:8" ht="15">
      <c r="C394" t="s">
        <v>549</v>
      </c>
      <c r="D394">
        <v>18056</v>
      </c>
      <c r="E394" t="s">
        <v>68</v>
      </c>
      <c r="F394" s="109">
        <v>91303</v>
      </c>
      <c r="G394" s="107">
        <f t="shared" si="18"/>
        <v>91303</v>
      </c>
      <c r="H394" s="108">
        <f t="shared" si="19"/>
        <v>0</v>
      </c>
    </row>
    <row r="395" spans="3:8" ht="15">
      <c r="C395" t="s">
        <v>550</v>
      </c>
      <c r="D395">
        <v>15047</v>
      </c>
      <c r="E395" t="s">
        <v>69</v>
      </c>
      <c r="F395" s="109">
        <v>84182</v>
      </c>
      <c r="G395" s="107">
        <f t="shared" si="18"/>
        <v>84182</v>
      </c>
      <c r="H395" s="108">
        <f t="shared" si="19"/>
        <v>0</v>
      </c>
    </row>
    <row r="396" spans="3:8" ht="15">
      <c r="C396" t="s">
        <v>551</v>
      </c>
      <c r="D396">
        <v>5012</v>
      </c>
      <c r="E396" t="s">
        <v>70</v>
      </c>
      <c r="F396" s="109">
        <v>1350550</v>
      </c>
      <c r="G396" s="107">
        <f t="shared" si="18"/>
        <v>1350550</v>
      </c>
      <c r="H396" s="108">
        <f t="shared" si="19"/>
        <v>0</v>
      </c>
    </row>
    <row r="397" spans="3:8" ht="15">
      <c r="C397" t="s">
        <v>552</v>
      </c>
      <c r="D397">
        <v>8024</v>
      </c>
      <c r="E397" t="s">
        <v>71</v>
      </c>
      <c r="F397" s="109">
        <v>218860</v>
      </c>
      <c r="G397" s="107">
        <f t="shared" si="18"/>
        <v>218860</v>
      </c>
      <c r="H397" s="108">
        <f t="shared" si="19"/>
        <v>0</v>
      </c>
    </row>
    <row r="398" spans="3:8" ht="15">
      <c r="C398" t="s">
        <v>553</v>
      </c>
      <c r="D398">
        <v>3050</v>
      </c>
      <c r="E398" t="s">
        <v>72</v>
      </c>
      <c r="F398" s="109">
        <v>89584</v>
      </c>
      <c r="G398" s="107">
        <f t="shared" si="18"/>
        <v>89584</v>
      </c>
      <c r="H398" s="108">
        <f t="shared" si="19"/>
        <v>0</v>
      </c>
    </row>
    <row r="399" spans="3:8" ht="15">
      <c r="C399" t="s">
        <v>554</v>
      </c>
      <c r="D399">
        <v>2421</v>
      </c>
      <c r="E399" t="s">
        <v>73</v>
      </c>
      <c r="F399" s="109">
        <v>35272</v>
      </c>
      <c r="G399" s="107">
        <f t="shared" si="18"/>
        <v>35272</v>
      </c>
      <c r="H399" s="108">
        <f t="shared" si="19"/>
        <v>0</v>
      </c>
    </row>
    <row r="400" spans="3:8" ht="15">
      <c r="C400" t="s">
        <v>555</v>
      </c>
      <c r="D400">
        <v>26079</v>
      </c>
      <c r="E400" t="s">
        <v>74</v>
      </c>
      <c r="F400" s="109">
        <v>35339</v>
      </c>
      <c r="G400" s="107">
        <f t="shared" si="18"/>
        <v>35339</v>
      </c>
      <c r="H400" s="108">
        <f t="shared" si="19"/>
        <v>0</v>
      </c>
    </row>
    <row r="401" spans="3:8" ht="15">
      <c r="C401" t="s">
        <v>556</v>
      </c>
      <c r="D401">
        <v>2363</v>
      </c>
      <c r="E401" t="s">
        <v>75</v>
      </c>
      <c r="F401" s="109">
        <v>38320</v>
      </c>
      <c r="G401" s="107">
        <f t="shared" si="18"/>
        <v>38320</v>
      </c>
      <c r="H401" s="108">
        <f t="shared" si="19"/>
        <v>0</v>
      </c>
    </row>
    <row r="402" spans="3:8" ht="15">
      <c r="C402" t="s">
        <v>557</v>
      </c>
      <c r="D402">
        <v>2364</v>
      </c>
      <c r="E402" t="s">
        <v>76</v>
      </c>
      <c r="F402" s="109">
        <v>133101</v>
      </c>
      <c r="G402" s="107">
        <f t="shared" si="18"/>
        <v>133101</v>
      </c>
      <c r="H402" s="108">
        <f t="shared" si="19"/>
        <v>0</v>
      </c>
    </row>
    <row r="403" spans="3:8" ht="15">
      <c r="C403" t="s">
        <v>558</v>
      </c>
      <c r="D403">
        <v>25319</v>
      </c>
      <c r="E403" t="s">
        <v>77</v>
      </c>
      <c r="F403" s="109">
        <v>30771</v>
      </c>
      <c r="G403" s="107">
        <f t="shared" si="18"/>
        <v>30771</v>
      </c>
      <c r="H403" s="108">
        <f t="shared" si="19"/>
        <v>0</v>
      </c>
    </row>
    <row r="404" spans="3:8" ht="15">
      <c r="C404" t="s">
        <v>559</v>
      </c>
      <c r="D404">
        <v>29087</v>
      </c>
      <c r="E404" t="s">
        <v>78</v>
      </c>
      <c r="F404" s="109">
        <v>261247</v>
      </c>
      <c r="G404" s="107">
        <f t="shared" si="18"/>
        <v>261247</v>
      </c>
      <c r="H404" s="108">
        <f t="shared" si="19"/>
        <v>0</v>
      </c>
    </row>
    <row r="405" spans="3:8" ht="15">
      <c r="C405" t="s">
        <v>560</v>
      </c>
      <c r="D405">
        <v>3060</v>
      </c>
      <c r="E405" t="s">
        <v>79</v>
      </c>
      <c r="F405" s="109">
        <v>149877</v>
      </c>
      <c r="G405" s="107">
        <f t="shared" si="18"/>
        <v>149877</v>
      </c>
      <c r="H405" s="108">
        <f t="shared" si="19"/>
        <v>0</v>
      </c>
    </row>
    <row r="406" spans="3:8" ht="15">
      <c r="C406" t="s">
        <v>561</v>
      </c>
      <c r="D406">
        <v>19301</v>
      </c>
      <c r="E406" t="s">
        <v>80</v>
      </c>
      <c r="F406" s="109">
        <v>27046</v>
      </c>
      <c r="G406" s="107">
        <f t="shared" si="18"/>
        <v>27046</v>
      </c>
      <c r="H406" s="108">
        <f t="shared" si="19"/>
        <v>0</v>
      </c>
    </row>
    <row r="407" spans="3:8" ht="15">
      <c r="C407" t="s">
        <v>562</v>
      </c>
      <c r="D407">
        <v>19059</v>
      </c>
      <c r="E407" t="s">
        <v>81</v>
      </c>
      <c r="F407" s="109">
        <v>932289</v>
      </c>
      <c r="G407" s="107">
        <f t="shared" si="18"/>
        <v>932289</v>
      </c>
      <c r="H407" s="108">
        <f t="shared" si="19"/>
        <v>0</v>
      </c>
    </row>
    <row r="408" spans="3:8" ht="15">
      <c r="C408" t="s">
        <v>563</v>
      </c>
      <c r="D408">
        <v>18057</v>
      </c>
      <c r="E408" t="s">
        <v>82</v>
      </c>
      <c r="F408" s="109">
        <v>39995</v>
      </c>
      <c r="G408" s="107">
        <f t="shared" si="18"/>
        <v>39995</v>
      </c>
      <c r="H408" s="108">
        <f t="shared" si="19"/>
        <v>0</v>
      </c>
    </row>
    <row r="409" spans="3:8" ht="15">
      <c r="C409" t="s">
        <v>564</v>
      </c>
      <c r="D409">
        <v>4008</v>
      </c>
      <c r="E409" t="s">
        <v>83</v>
      </c>
      <c r="F409" s="109">
        <v>153984</v>
      </c>
      <c r="G409" s="107">
        <f t="shared" si="18"/>
        <v>153984</v>
      </c>
      <c r="H409" s="108">
        <f t="shared" si="19"/>
        <v>0</v>
      </c>
    </row>
    <row r="410" spans="3:8" ht="15">
      <c r="C410" t="s">
        <v>565</v>
      </c>
      <c r="D410">
        <v>2350</v>
      </c>
      <c r="E410" t="s">
        <v>84</v>
      </c>
      <c r="F410" s="109">
        <v>45379</v>
      </c>
      <c r="G410" s="107">
        <f t="shared" si="18"/>
        <v>45379</v>
      </c>
      <c r="H410" s="108">
        <f t="shared" si="19"/>
        <v>0</v>
      </c>
    </row>
    <row r="411" spans="3:8" ht="15">
      <c r="C411" t="s">
        <v>566</v>
      </c>
      <c r="D411">
        <v>11117</v>
      </c>
      <c r="E411" t="s">
        <v>85</v>
      </c>
      <c r="F411" s="109">
        <v>53224</v>
      </c>
      <c r="G411" s="107">
        <f t="shared" si="18"/>
        <v>53224</v>
      </c>
      <c r="H411" s="108">
        <f t="shared" si="19"/>
        <v>0</v>
      </c>
    </row>
    <row r="412" spans="3:8" ht="15">
      <c r="C412" t="s">
        <v>567</v>
      </c>
      <c r="D412">
        <v>16359</v>
      </c>
      <c r="E412" t="s">
        <v>86</v>
      </c>
      <c r="F412" s="109">
        <v>10229</v>
      </c>
      <c r="G412" s="107">
        <f t="shared" si="18"/>
        <v>10229</v>
      </c>
      <c r="H412" s="108">
        <f t="shared" si="19"/>
        <v>0</v>
      </c>
    </row>
    <row r="413" spans="3:8" ht="15">
      <c r="C413" t="s">
        <v>568</v>
      </c>
      <c r="D413">
        <v>17115</v>
      </c>
      <c r="E413" t="s">
        <v>87</v>
      </c>
      <c r="F413" s="109">
        <v>196256</v>
      </c>
      <c r="G413" s="107">
        <f t="shared" si="18"/>
        <v>196256</v>
      </c>
      <c r="H413" s="108">
        <f t="shared" si="19"/>
        <v>0</v>
      </c>
    </row>
    <row r="414" spans="3:8" ht="15">
      <c r="C414" t="s">
        <v>569</v>
      </c>
      <c r="D414">
        <v>13437</v>
      </c>
      <c r="E414" t="s">
        <v>88</v>
      </c>
      <c r="F414" s="109">
        <v>18657</v>
      </c>
      <c r="G414" s="107">
        <f t="shared" si="18"/>
        <v>18657</v>
      </c>
      <c r="H414" s="108">
        <f t="shared" si="19"/>
        <v>0</v>
      </c>
    </row>
    <row r="415" spans="3:8" ht="15">
      <c r="C415" t="s">
        <v>570</v>
      </c>
      <c r="D415">
        <v>2304</v>
      </c>
      <c r="E415" t="s">
        <v>89</v>
      </c>
      <c r="F415" s="109">
        <v>70460</v>
      </c>
      <c r="G415" s="107">
        <f t="shared" si="18"/>
        <v>70460</v>
      </c>
      <c r="H415" s="108">
        <f t="shared" si="19"/>
        <v>0</v>
      </c>
    </row>
    <row r="416" spans="3:8" ht="15">
      <c r="C416" t="s">
        <v>571</v>
      </c>
      <c r="D416">
        <v>11101</v>
      </c>
      <c r="E416" t="s">
        <v>91</v>
      </c>
      <c r="F416" s="109">
        <v>800909</v>
      </c>
      <c r="G416" s="107">
        <f t="shared" si="18"/>
        <v>800909</v>
      </c>
      <c r="H416" s="108">
        <f t="shared" si="19"/>
        <v>0</v>
      </c>
    </row>
    <row r="417" spans="3:8" ht="15">
      <c r="C417" t="s">
        <v>572</v>
      </c>
      <c r="D417">
        <v>11102</v>
      </c>
      <c r="E417" t="s">
        <v>90</v>
      </c>
      <c r="F417" s="109">
        <v>259589</v>
      </c>
      <c r="G417" s="107">
        <f t="shared" si="18"/>
        <v>259589</v>
      </c>
      <c r="H417" s="108">
        <f t="shared" si="19"/>
        <v>0</v>
      </c>
    </row>
    <row r="418" spans="3:8" ht="15">
      <c r="C418" t="s">
        <v>573</v>
      </c>
      <c r="D418">
        <v>3100</v>
      </c>
      <c r="E418" t="s">
        <v>92</v>
      </c>
      <c r="F418" s="109">
        <v>544398</v>
      </c>
      <c r="G418" s="107">
        <f t="shared" si="18"/>
        <v>544398</v>
      </c>
      <c r="H418" s="108">
        <f t="shared" si="19"/>
        <v>0</v>
      </c>
    </row>
    <row r="419" spans="3:8" ht="15">
      <c r="C419" t="s">
        <v>574</v>
      </c>
      <c r="D419">
        <v>2323</v>
      </c>
      <c r="E419" t="s">
        <v>93</v>
      </c>
      <c r="F419" s="109">
        <v>51877</v>
      </c>
      <c r="G419" s="107">
        <f t="shared" si="18"/>
        <v>51877</v>
      </c>
      <c r="H419" s="108">
        <f t="shared" si="19"/>
        <v>0</v>
      </c>
    </row>
    <row r="420" spans="3:8" ht="15">
      <c r="C420" t="s">
        <v>575</v>
      </c>
      <c r="D420">
        <v>11034</v>
      </c>
      <c r="E420" t="s">
        <v>94</v>
      </c>
      <c r="F420" s="109">
        <v>45081</v>
      </c>
      <c r="G420" s="107">
        <f t="shared" si="18"/>
        <v>45081</v>
      </c>
      <c r="H420" s="108">
        <f t="shared" si="19"/>
        <v>0</v>
      </c>
    </row>
    <row r="421" spans="3:8" ht="15">
      <c r="C421" t="s">
        <v>576</v>
      </c>
      <c r="D421">
        <v>588001</v>
      </c>
      <c r="E421" t="s">
        <v>475</v>
      </c>
      <c r="F421" s="109">
        <v>1564</v>
      </c>
      <c r="G421" s="107">
        <f t="shared" si="18"/>
        <v>1564</v>
      </c>
      <c r="H421" s="108">
        <f t="shared" si="19"/>
        <v>0</v>
      </c>
    </row>
    <row r="422" spans="3:8" ht="15">
      <c r="C422" t="s">
        <v>577</v>
      </c>
      <c r="D422">
        <v>17054</v>
      </c>
      <c r="E422" t="s">
        <v>95</v>
      </c>
      <c r="F422" s="109">
        <v>572500</v>
      </c>
      <c r="G422" s="107">
        <f t="shared" si="18"/>
        <v>572500</v>
      </c>
      <c r="H422" s="108">
        <f t="shared" si="19"/>
        <v>0</v>
      </c>
    </row>
    <row r="423" spans="3:8" ht="15">
      <c r="C423" t="s">
        <v>578</v>
      </c>
      <c r="D423">
        <v>22065</v>
      </c>
      <c r="E423" t="s">
        <v>96</v>
      </c>
      <c r="F423" s="109">
        <v>147929</v>
      </c>
      <c r="G423" s="107">
        <f t="shared" si="18"/>
        <v>147929</v>
      </c>
      <c r="H423" s="108">
        <f t="shared" si="19"/>
        <v>0</v>
      </c>
    </row>
    <row r="424" spans="3:8" ht="15">
      <c r="C424" t="s">
        <v>579</v>
      </c>
      <c r="D424">
        <v>22201</v>
      </c>
      <c r="E424" t="s">
        <v>97</v>
      </c>
      <c r="F424" s="109">
        <v>80173</v>
      </c>
      <c r="G424" s="107">
        <f t="shared" si="18"/>
        <v>80173</v>
      </c>
      <c r="H424" s="108">
        <f t="shared" si="19"/>
        <v>0</v>
      </c>
    </row>
    <row r="425" spans="3:8" ht="15">
      <c r="C425" t="s">
        <v>580</v>
      </c>
      <c r="D425">
        <v>6016</v>
      </c>
      <c r="E425" t="s">
        <v>98</v>
      </c>
      <c r="F425" s="109">
        <v>147769</v>
      </c>
      <c r="G425" s="107">
        <f t="shared" si="18"/>
        <v>147769</v>
      </c>
      <c r="H425" s="108">
        <f t="shared" si="19"/>
        <v>0</v>
      </c>
    </row>
    <row r="426" spans="3:8" ht="15">
      <c r="C426" t="s">
        <v>581</v>
      </c>
      <c r="D426">
        <v>2432</v>
      </c>
      <c r="E426" t="s">
        <v>99</v>
      </c>
      <c r="F426" s="109">
        <v>247220</v>
      </c>
      <c r="G426" s="107">
        <f t="shared" si="18"/>
        <v>247220</v>
      </c>
      <c r="H426" s="108">
        <f t="shared" si="19"/>
        <v>0</v>
      </c>
    </row>
    <row r="427" spans="3:8" ht="15">
      <c r="C427" t="s">
        <v>582</v>
      </c>
      <c r="D427">
        <v>29125</v>
      </c>
      <c r="E427" t="s">
        <v>454</v>
      </c>
      <c r="F427" s="109">
        <v>51548</v>
      </c>
      <c r="G427" s="107">
        <f t="shared" si="18"/>
        <v>51548</v>
      </c>
      <c r="H427" s="108">
        <f t="shared" si="19"/>
        <v>0</v>
      </c>
    </row>
    <row r="428" spans="3:8" ht="15">
      <c r="C428" t="s">
        <v>583</v>
      </c>
      <c r="D428">
        <v>7440</v>
      </c>
      <c r="E428" t="s">
        <v>428</v>
      </c>
      <c r="F428" s="109">
        <v>79933</v>
      </c>
      <c r="G428" s="107">
        <f t="shared" si="18"/>
        <v>79933</v>
      </c>
      <c r="H428" s="108">
        <f t="shared" si="19"/>
        <v>0</v>
      </c>
    </row>
    <row r="429" spans="3:8" ht="15">
      <c r="C429" t="s">
        <v>584</v>
      </c>
      <c r="D429">
        <v>16052</v>
      </c>
      <c r="E429" t="s">
        <v>100</v>
      </c>
      <c r="F429" s="109">
        <v>1702948</v>
      </c>
      <c r="G429" s="107">
        <f t="shared" si="18"/>
        <v>1702948</v>
      </c>
      <c r="H429" s="108">
        <f t="shared" si="19"/>
        <v>0</v>
      </c>
    </row>
    <row r="430" spans="3:8" ht="15">
      <c r="C430" t="s">
        <v>585</v>
      </c>
      <c r="D430">
        <v>11118</v>
      </c>
      <c r="E430" t="s">
        <v>101</v>
      </c>
      <c r="F430" s="109">
        <v>46107</v>
      </c>
      <c r="G430" s="107">
        <f t="shared" si="18"/>
        <v>46107</v>
      </c>
      <c r="H430" s="108">
        <f t="shared" si="19"/>
        <v>0</v>
      </c>
    </row>
    <row r="431" spans="3:8" ht="15">
      <c r="C431" t="s">
        <v>586</v>
      </c>
      <c r="D431">
        <v>27083</v>
      </c>
      <c r="E431" t="s">
        <v>102</v>
      </c>
      <c r="F431" s="109">
        <v>74376</v>
      </c>
      <c r="G431" s="107">
        <f t="shared" si="18"/>
        <v>74376</v>
      </c>
      <c r="H431" s="108">
        <f t="shared" si="19"/>
        <v>0</v>
      </c>
    </row>
    <row r="432" spans="3:8" ht="15">
      <c r="C432" t="s">
        <v>587</v>
      </c>
      <c r="D432">
        <v>7021</v>
      </c>
      <c r="E432" t="s">
        <v>103</v>
      </c>
      <c r="F432" s="109">
        <v>2418647</v>
      </c>
      <c r="G432" s="107">
        <f t="shared" si="18"/>
        <v>2418647</v>
      </c>
      <c r="H432" s="108">
        <f t="shared" si="19"/>
        <v>0</v>
      </c>
    </row>
    <row r="433" spans="3:8" ht="15">
      <c r="C433" t="s">
        <v>588</v>
      </c>
      <c r="D433">
        <v>4140</v>
      </c>
      <c r="E433" t="s">
        <v>104</v>
      </c>
      <c r="F433" s="109">
        <v>15125</v>
      </c>
      <c r="G433" s="107">
        <f t="shared" si="18"/>
        <v>15125</v>
      </c>
      <c r="H433" s="108">
        <f t="shared" si="19"/>
        <v>0</v>
      </c>
    </row>
    <row r="434" spans="3:8" ht="15">
      <c r="C434" t="s">
        <v>589</v>
      </c>
      <c r="D434">
        <v>13041</v>
      </c>
      <c r="E434" t="s">
        <v>105</v>
      </c>
      <c r="F434" s="109">
        <v>2041586</v>
      </c>
      <c r="G434" s="107">
        <f t="shared" si="18"/>
        <v>2041586</v>
      </c>
      <c r="H434" s="108">
        <f t="shared" si="19"/>
        <v>0</v>
      </c>
    </row>
    <row r="435" spans="3:8" ht="15">
      <c r="C435" t="s">
        <v>590</v>
      </c>
      <c r="D435">
        <v>2339</v>
      </c>
      <c r="E435" t="s">
        <v>106</v>
      </c>
      <c r="F435" s="109">
        <v>32617</v>
      </c>
      <c r="G435" s="107">
        <f t="shared" si="18"/>
        <v>32617</v>
      </c>
      <c r="H435" s="108">
        <f t="shared" si="19"/>
        <v>0</v>
      </c>
    </row>
    <row r="436" spans="3:8" ht="15">
      <c r="C436" t="s">
        <v>591</v>
      </c>
      <c r="D436">
        <v>2362</v>
      </c>
      <c r="E436" t="s">
        <v>107</v>
      </c>
      <c r="F436" s="109">
        <v>41855</v>
      </c>
      <c r="G436" s="107">
        <f t="shared" si="18"/>
        <v>41855</v>
      </c>
      <c r="H436" s="108">
        <f t="shared" si="19"/>
        <v>0</v>
      </c>
    </row>
    <row r="437" spans="3:8" ht="15">
      <c r="C437" t="s">
        <v>592</v>
      </c>
      <c r="D437">
        <v>5013</v>
      </c>
      <c r="E437" t="s">
        <v>108</v>
      </c>
      <c r="F437" s="109">
        <v>36787</v>
      </c>
      <c r="G437" s="107">
        <f t="shared" si="18"/>
        <v>36787</v>
      </c>
      <c r="H437" s="108">
        <f t="shared" si="19"/>
        <v>0</v>
      </c>
    </row>
    <row r="438" spans="3:8" ht="15">
      <c r="C438" t="s">
        <v>593</v>
      </c>
      <c r="D438">
        <v>3110</v>
      </c>
      <c r="E438" t="s">
        <v>109</v>
      </c>
      <c r="F438" s="109">
        <v>176925</v>
      </c>
      <c r="G438" s="107">
        <f t="shared" si="18"/>
        <v>176925</v>
      </c>
      <c r="H438" s="108">
        <f t="shared" si="19"/>
        <v>0</v>
      </c>
    </row>
    <row r="439" spans="3:8" ht="15">
      <c r="C439" t="s">
        <v>594</v>
      </c>
      <c r="D439">
        <v>14044</v>
      </c>
      <c r="E439" t="s">
        <v>110</v>
      </c>
      <c r="F439" s="109">
        <v>569841</v>
      </c>
      <c r="G439" s="107">
        <f t="shared" si="18"/>
        <v>569841</v>
      </c>
      <c r="H439" s="108">
        <f t="shared" si="19"/>
        <v>0</v>
      </c>
    </row>
    <row r="440" spans="3:8" ht="15">
      <c r="C440" t="s">
        <v>595</v>
      </c>
      <c r="D440">
        <v>4009</v>
      </c>
      <c r="E440" t="s">
        <v>111</v>
      </c>
      <c r="F440" s="109">
        <v>84425</v>
      </c>
      <c r="G440" s="107">
        <f t="shared" si="18"/>
        <v>84425</v>
      </c>
      <c r="H440" s="108">
        <f t="shared" si="19"/>
        <v>0</v>
      </c>
    </row>
    <row r="441" spans="3:8" ht="15">
      <c r="C441" t="s">
        <v>596</v>
      </c>
      <c r="D441">
        <v>7022</v>
      </c>
      <c r="E441" t="s">
        <v>112</v>
      </c>
      <c r="F441" s="109">
        <v>249281</v>
      </c>
      <c r="G441" s="107">
        <f t="shared" si="18"/>
        <v>249281</v>
      </c>
      <c r="H441" s="108">
        <f t="shared" si="19"/>
        <v>0</v>
      </c>
    </row>
    <row r="442" spans="3:8" ht="15">
      <c r="C442" t="s">
        <v>597</v>
      </c>
      <c r="D442">
        <v>2430</v>
      </c>
      <c r="E442" t="s">
        <v>113</v>
      </c>
      <c r="F442" s="109">
        <v>29559</v>
      </c>
      <c r="G442" s="107">
        <f t="shared" si="18"/>
        <v>29559</v>
      </c>
      <c r="H442" s="108">
        <f t="shared" si="19"/>
        <v>0</v>
      </c>
    </row>
    <row r="443" spans="3:8" ht="15">
      <c r="C443" t="s">
        <v>598</v>
      </c>
      <c r="D443">
        <v>9150</v>
      </c>
      <c r="E443" t="s">
        <v>114</v>
      </c>
      <c r="F443" s="109">
        <v>14757</v>
      </c>
      <c r="G443" s="107">
        <f t="shared" si="18"/>
        <v>14757</v>
      </c>
      <c r="H443" s="108">
        <f t="shared" si="19"/>
        <v>0</v>
      </c>
    </row>
    <row r="444" spans="3:8" ht="15">
      <c r="C444" t="s">
        <v>599</v>
      </c>
      <c r="D444">
        <v>6017</v>
      </c>
      <c r="E444" t="s">
        <v>115</v>
      </c>
      <c r="F444" s="109">
        <v>1685325</v>
      </c>
      <c r="G444" s="107">
        <f t="shared" si="18"/>
        <v>1685325</v>
      </c>
      <c r="H444" s="108">
        <f t="shared" si="19"/>
        <v>0</v>
      </c>
    </row>
    <row r="445" spans="3:8" ht="15">
      <c r="C445" t="s">
        <v>600</v>
      </c>
      <c r="D445">
        <v>26080</v>
      </c>
      <c r="E445" t="s">
        <v>116</v>
      </c>
      <c r="F445" s="109">
        <v>37311</v>
      </c>
      <c r="G445" s="107">
        <f t="shared" si="18"/>
        <v>37311</v>
      </c>
      <c r="H445" s="108">
        <f t="shared" si="19"/>
        <v>0</v>
      </c>
    </row>
    <row r="446" spans="3:8" ht="15">
      <c r="C446" t="s">
        <v>601</v>
      </c>
      <c r="D446">
        <v>2327</v>
      </c>
      <c r="E446" t="s">
        <v>117</v>
      </c>
      <c r="F446" s="109">
        <v>61320</v>
      </c>
      <c r="G446" s="107">
        <f t="shared" si="18"/>
        <v>61320</v>
      </c>
      <c r="H446" s="108">
        <f t="shared" si="19"/>
        <v>0</v>
      </c>
    </row>
    <row r="447" spans="3:8" ht="15">
      <c r="C447" t="s">
        <v>602</v>
      </c>
      <c r="D447">
        <v>10119</v>
      </c>
      <c r="E447" t="s">
        <v>118</v>
      </c>
      <c r="F447" s="109">
        <v>30504</v>
      </c>
      <c r="G447" s="107">
        <f t="shared" si="18"/>
        <v>30504</v>
      </c>
      <c r="H447" s="108">
        <f t="shared" si="19"/>
        <v>0</v>
      </c>
    </row>
    <row r="448" spans="3:8" ht="15">
      <c r="C448" t="s">
        <v>603</v>
      </c>
      <c r="D448">
        <v>13436</v>
      </c>
      <c r="E448" t="s">
        <v>394</v>
      </c>
      <c r="F448" s="109">
        <v>157132</v>
      </c>
      <c r="G448" s="107">
        <f t="shared" si="18"/>
        <v>157132</v>
      </c>
      <c r="H448" s="108">
        <f t="shared" si="19"/>
        <v>0</v>
      </c>
    </row>
    <row r="449" spans="3:8" ht="15">
      <c r="C449" t="s">
        <v>604</v>
      </c>
      <c r="D449">
        <v>2368</v>
      </c>
      <c r="E449" t="s">
        <v>119</v>
      </c>
      <c r="F449" s="109">
        <v>65221</v>
      </c>
      <c r="G449" s="107">
        <f t="shared" si="18"/>
        <v>65221</v>
      </c>
      <c r="H449" s="108">
        <f t="shared" si="19"/>
        <v>0</v>
      </c>
    </row>
    <row r="450" spans="3:8" ht="15">
      <c r="C450" t="s">
        <v>605</v>
      </c>
      <c r="D450">
        <v>7420</v>
      </c>
      <c r="E450" t="s">
        <v>120</v>
      </c>
      <c r="F450" s="109">
        <v>38386</v>
      </c>
      <c r="G450" s="107">
        <f t="shared" si="18"/>
        <v>38386</v>
      </c>
      <c r="H450" s="108">
        <f t="shared" si="19"/>
        <v>0</v>
      </c>
    </row>
    <row r="451" spans="3:8" ht="15">
      <c r="C451" t="s">
        <v>606</v>
      </c>
      <c r="D451">
        <v>6018</v>
      </c>
      <c r="E451" t="s">
        <v>121</v>
      </c>
      <c r="F451" s="109">
        <v>146600</v>
      </c>
      <c r="G451" s="107">
        <f t="shared" si="18"/>
        <v>146600</v>
      </c>
      <c r="H451" s="108">
        <f t="shared" si="19"/>
        <v>0</v>
      </c>
    </row>
    <row r="452" spans="3:8" ht="15">
      <c r="C452" t="s">
        <v>607</v>
      </c>
      <c r="D452">
        <v>3321</v>
      </c>
      <c r="E452" t="s">
        <v>122</v>
      </c>
      <c r="F452" s="109">
        <v>33831</v>
      </c>
      <c r="G452" s="107">
        <f t="shared" si="18"/>
        <v>33831</v>
      </c>
      <c r="H452" s="108">
        <f t="shared" si="19"/>
        <v>0</v>
      </c>
    </row>
    <row r="453" spans="3:8" ht="15">
      <c r="C453" t="s">
        <v>608</v>
      </c>
      <c r="D453">
        <v>29122</v>
      </c>
      <c r="E453" t="s">
        <v>123</v>
      </c>
      <c r="F453" s="109">
        <v>59246</v>
      </c>
      <c r="G453" s="107">
        <f t="shared" ref="G453:G516" si="20">VLOOKUP(D453,$A$9:$C$314,3,FALSE)</f>
        <v>59246</v>
      </c>
      <c r="H453" s="108">
        <f t="shared" si="19"/>
        <v>0</v>
      </c>
    </row>
    <row r="454" spans="3:8" ht="15">
      <c r="C454" t="s">
        <v>609</v>
      </c>
      <c r="D454">
        <v>29088</v>
      </c>
      <c r="E454" t="s">
        <v>124</v>
      </c>
      <c r="F454" s="109">
        <v>76499</v>
      </c>
      <c r="G454" s="107">
        <f t="shared" si="20"/>
        <v>76499</v>
      </c>
      <c r="H454" s="108">
        <f t="shared" ref="H454:H517" si="21">+F454-G454</f>
        <v>0</v>
      </c>
    </row>
    <row r="455" spans="3:8" ht="15">
      <c r="C455" t="s">
        <v>610</v>
      </c>
      <c r="D455">
        <v>7337</v>
      </c>
      <c r="E455" t="s">
        <v>125</v>
      </c>
      <c r="F455" s="109">
        <v>15495</v>
      </c>
      <c r="G455" s="107">
        <f t="shared" si="20"/>
        <v>15495</v>
      </c>
      <c r="H455" s="108">
        <f t="shared" si="21"/>
        <v>0</v>
      </c>
    </row>
    <row r="456" spans="3:8" ht="15">
      <c r="C456" t="s">
        <v>611</v>
      </c>
      <c r="D456">
        <v>2329</v>
      </c>
      <c r="E456" t="s">
        <v>126</v>
      </c>
      <c r="F456" s="109">
        <v>39803</v>
      </c>
      <c r="G456" s="107">
        <f t="shared" si="20"/>
        <v>39803</v>
      </c>
      <c r="H456" s="108">
        <f t="shared" si="21"/>
        <v>0</v>
      </c>
    </row>
    <row r="457" spans="3:8" ht="15">
      <c r="C457" t="s">
        <v>612</v>
      </c>
      <c r="D457">
        <v>4010</v>
      </c>
      <c r="E457" t="s">
        <v>129</v>
      </c>
      <c r="F457" s="109">
        <v>39761</v>
      </c>
      <c r="G457" s="107">
        <f t="shared" si="20"/>
        <v>39761</v>
      </c>
      <c r="H457" s="108">
        <f t="shared" si="21"/>
        <v>0</v>
      </c>
    </row>
    <row r="458" spans="3:8" ht="15">
      <c r="C458" t="s">
        <v>613</v>
      </c>
      <c r="D458">
        <v>7023</v>
      </c>
      <c r="E458" t="s">
        <v>410</v>
      </c>
      <c r="F458" s="109">
        <v>4396208</v>
      </c>
      <c r="G458" s="107">
        <f t="shared" si="20"/>
        <v>4396208</v>
      </c>
      <c r="H458" s="108">
        <f t="shared" si="21"/>
        <v>0</v>
      </c>
    </row>
    <row r="459" spans="3:8" ht="15">
      <c r="C459" t="s">
        <v>614</v>
      </c>
      <c r="D459">
        <v>12037</v>
      </c>
      <c r="E459" t="s">
        <v>132</v>
      </c>
      <c r="F459" s="109">
        <v>236174</v>
      </c>
      <c r="G459" s="107">
        <f t="shared" si="20"/>
        <v>236174</v>
      </c>
      <c r="H459" s="108">
        <f t="shared" si="21"/>
        <v>0</v>
      </c>
    </row>
    <row r="460" spans="3:8" ht="15">
      <c r="C460" t="s">
        <v>615</v>
      </c>
      <c r="D460">
        <v>3150</v>
      </c>
      <c r="E460" t="s">
        <v>133</v>
      </c>
      <c r="F460" s="109">
        <v>590279</v>
      </c>
      <c r="G460" s="107">
        <f t="shared" si="20"/>
        <v>590279</v>
      </c>
      <c r="H460" s="108">
        <f t="shared" si="21"/>
        <v>0</v>
      </c>
    </row>
    <row r="461" spans="3:8" ht="15">
      <c r="C461" t="s">
        <v>616</v>
      </c>
      <c r="D461">
        <v>3160</v>
      </c>
      <c r="E461" t="s">
        <v>134</v>
      </c>
      <c r="F461" s="109">
        <v>118286</v>
      </c>
      <c r="G461" s="107">
        <f t="shared" si="20"/>
        <v>118286</v>
      </c>
      <c r="H461" s="108">
        <f t="shared" si="21"/>
        <v>0</v>
      </c>
    </row>
    <row r="462" spans="3:8" ht="15">
      <c r="C462" t="s">
        <v>617</v>
      </c>
      <c r="D462">
        <v>10120</v>
      </c>
      <c r="E462" t="s">
        <v>135</v>
      </c>
      <c r="F462" s="109">
        <v>61006</v>
      </c>
      <c r="G462" s="107">
        <f t="shared" si="20"/>
        <v>61006</v>
      </c>
      <c r="H462" s="108">
        <f t="shared" si="21"/>
        <v>0</v>
      </c>
    </row>
    <row r="463" spans="3:8" ht="15">
      <c r="C463" t="s">
        <v>618</v>
      </c>
      <c r="D463">
        <v>23070</v>
      </c>
      <c r="E463" t="s">
        <v>136</v>
      </c>
      <c r="F463" s="109">
        <v>94898</v>
      </c>
      <c r="G463" s="107">
        <f t="shared" si="20"/>
        <v>94898</v>
      </c>
      <c r="H463" s="108">
        <f t="shared" si="21"/>
        <v>0</v>
      </c>
    </row>
    <row r="464" spans="3:8" ht="15">
      <c r="C464" t="s">
        <v>619</v>
      </c>
      <c r="D464">
        <v>3170</v>
      </c>
      <c r="E464" t="s">
        <v>137</v>
      </c>
      <c r="F464" s="109">
        <v>1359602</v>
      </c>
      <c r="G464" s="107">
        <f t="shared" si="20"/>
        <v>1359602</v>
      </c>
      <c r="H464" s="108">
        <f t="shared" si="21"/>
        <v>0</v>
      </c>
    </row>
    <row r="465" spans="3:8" ht="15">
      <c r="C465" t="s">
        <v>620</v>
      </c>
      <c r="D465">
        <v>32093</v>
      </c>
      <c r="E465" t="s">
        <v>138</v>
      </c>
      <c r="F465" s="109">
        <v>797680</v>
      </c>
      <c r="G465" s="107">
        <f t="shared" si="20"/>
        <v>797680</v>
      </c>
      <c r="H465" s="108">
        <f t="shared" si="21"/>
        <v>0</v>
      </c>
    </row>
    <row r="466" spans="3:8" ht="15">
      <c r="C466" t="s">
        <v>621</v>
      </c>
      <c r="D466">
        <v>14045</v>
      </c>
      <c r="E466" t="s">
        <v>139</v>
      </c>
      <c r="F466" s="109">
        <v>1527674</v>
      </c>
      <c r="G466" s="107">
        <f t="shared" si="20"/>
        <v>1527674</v>
      </c>
      <c r="H466" s="108">
        <f t="shared" si="21"/>
        <v>0</v>
      </c>
    </row>
    <row r="467" spans="3:8" ht="15">
      <c r="C467" t="s">
        <v>622</v>
      </c>
      <c r="D467">
        <v>3006</v>
      </c>
      <c r="E467" t="s">
        <v>141</v>
      </c>
      <c r="F467" s="109">
        <v>131265</v>
      </c>
      <c r="G467" s="107">
        <f t="shared" si="20"/>
        <v>131265</v>
      </c>
      <c r="H467" s="108">
        <f t="shared" si="21"/>
        <v>0</v>
      </c>
    </row>
    <row r="468" spans="3:8" ht="15">
      <c r="C468" t="s">
        <v>623</v>
      </c>
      <c r="D468">
        <v>6019</v>
      </c>
      <c r="E468" t="s">
        <v>142</v>
      </c>
      <c r="F468" s="109">
        <v>662250</v>
      </c>
      <c r="G468" s="107">
        <f t="shared" si="20"/>
        <v>662250</v>
      </c>
      <c r="H468" s="108">
        <f t="shared" si="21"/>
        <v>0</v>
      </c>
    </row>
    <row r="469" spans="3:8" ht="15">
      <c r="C469" t="s">
        <v>624</v>
      </c>
      <c r="D469">
        <v>12128</v>
      </c>
      <c r="E469" t="s">
        <v>143</v>
      </c>
      <c r="F469" s="109">
        <v>131747</v>
      </c>
      <c r="G469" s="107">
        <f t="shared" si="20"/>
        <v>131747</v>
      </c>
      <c r="H469" s="108">
        <f t="shared" si="21"/>
        <v>0</v>
      </c>
    </row>
    <row r="470" spans="3:8" ht="15">
      <c r="C470" t="s">
        <v>625</v>
      </c>
      <c r="D470">
        <v>3180</v>
      </c>
      <c r="E470" t="s">
        <v>144</v>
      </c>
      <c r="F470" s="109">
        <v>232863</v>
      </c>
      <c r="G470" s="107">
        <f t="shared" si="20"/>
        <v>232863</v>
      </c>
      <c r="H470" s="108">
        <f t="shared" si="21"/>
        <v>0</v>
      </c>
    </row>
    <row r="471" spans="3:8" ht="15">
      <c r="C471" t="s">
        <v>626</v>
      </c>
      <c r="D471">
        <v>25075</v>
      </c>
      <c r="E471" t="s">
        <v>145</v>
      </c>
      <c r="F471" s="109">
        <v>89056</v>
      </c>
      <c r="G471" s="107">
        <f t="shared" si="20"/>
        <v>89056</v>
      </c>
      <c r="H471" s="108">
        <f t="shared" si="21"/>
        <v>0</v>
      </c>
    </row>
    <row r="472" spans="3:8" ht="15">
      <c r="C472" t="s">
        <v>627</v>
      </c>
      <c r="D472">
        <v>2311</v>
      </c>
      <c r="E472" t="s">
        <v>411</v>
      </c>
      <c r="F472" s="109">
        <v>43933</v>
      </c>
      <c r="G472" s="107">
        <f t="shared" si="20"/>
        <v>43933</v>
      </c>
      <c r="H472" s="108">
        <f t="shared" si="21"/>
        <v>0</v>
      </c>
    </row>
    <row r="473" spans="3:8" ht="15">
      <c r="C473" t="s">
        <v>628</v>
      </c>
      <c r="D473">
        <v>9028</v>
      </c>
      <c r="E473" t="s">
        <v>146</v>
      </c>
      <c r="F473" s="109">
        <v>35890</v>
      </c>
      <c r="G473" s="107">
        <f t="shared" si="20"/>
        <v>35890</v>
      </c>
      <c r="H473" s="108">
        <f t="shared" si="21"/>
        <v>0</v>
      </c>
    </row>
    <row r="474" spans="3:8" ht="15">
      <c r="C474" t="s">
        <v>629</v>
      </c>
      <c r="D474">
        <v>17424</v>
      </c>
      <c r="E474" t="s">
        <v>147</v>
      </c>
      <c r="F474" s="109">
        <v>73308</v>
      </c>
      <c r="G474" s="107">
        <f t="shared" si="20"/>
        <v>73308</v>
      </c>
      <c r="H474" s="108">
        <f t="shared" si="21"/>
        <v>0</v>
      </c>
    </row>
    <row r="475" spans="3:8" ht="15">
      <c r="C475" t="s">
        <v>630</v>
      </c>
      <c r="D475">
        <v>3200</v>
      </c>
      <c r="E475" t="s">
        <v>148</v>
      </c>
      <c r="F475" s="109">
        <v>254957</v>
      </c>
      <c r="G475" s="107">
        <f t="shared" si="20"/>
        <v>254957</v>
      </c>
      <c r="H475" s="108">
        <f t="shared" si="21"/>
        <v>0</v>
      </c>
    </row>
    <row r="476" spans="3:8" ht="15">
      <c r="C476" t="s">
        <v>631</v>
      </c>
      <c r="D476">
        <v>5014</v>
      </c>
      <c r="E476" t="s">
        <v>150</v>
      </c>
      <c r="F476" s="109">
        <v>52630</v>
      </c>
      <c r="G476" s="107">
        <f t="shared" si="20"/>
        <v>52630</v>
      </c>
      <c r="H476" s="108">
        <f t="shared" si="21"/>
        <v>0</v>
      </c>
    </row>
    <row r="477" spans="3:8" ht="15">
      <c r="C477" t="s">
        <v>632</v>
      </c>
      <c r="D477">
        <v>17127</v>
      </c>
      <c r="E477" t="s">
        <v>151</v>
      </c>
      <c r="F477" s="109">
        <v>54503</v>
      </c>
      <c r="G477" s="107">
        <f t="shared" si="20"/>
        <v>54503</v>
      </c>
      <c r="H477" s="108">
        <f t="shared" si="21"/>
        <v>0</v>
      </c>
    </row>
    <row r="478" spans="3:8" ht="15">
      <c r="C478" t="s">
        <v>633</v>
      </c>
      <c r="D478">
        <v>10141</v>
      </c>
      <c r="E478" t="s">
        <v>152</v>
      </c>
      <c r="F478" s="109">
        <v>76223</v>
      </c>
      <c r="G478" s="107">
        <f t="shared" si="20"/>
        <v>76223</v>
      </c>
      <c r="H478" s="108">
        <f t="shared" si="21"/>
        <v>0</v>
      </c>
    </row>
    <row r="479" spans="3:8" ht="15">
      <c r="C479" t="s">
        <v>634</v>
      </c>
      <c r="D479">
        <v>13369</v>
      </c>
      <c r="E479" t="s">
        <v>153</v>
      </c>
      <c r="F479" s="109">
        <v>18468</v>
      </c>
      <c r="G479" s="107">
        <f t="shared" si="20"/>
        <v>18468</v>
      </c>
      <c r="H479" s="108">
        <f t="shared" si="21"/>
        <v>0</v>
      </c>
    </row>
    <row r="480" spans="3:8" ht="15">
      <c r="C480" t="s">
        <v>635</v>
      </c>
      <c r="D480">
        <v>4570</v>
      </c>
      <c r="E480" t="s">
        <v>395</v>
      </c>
      <c r="F480" s="109">
        <v>208513</v>
      </c>
      <c r="G480" s="107">
        <f t="shared" si="20"/>
        <v>208513</v>
      </c>
      <c r="H480" s="108">
        <f t="shared" si="21"/>
        <v>0</v>
      </c>
    </row>
    <row r="481" spans="3:8" ht="15">
      <c r="C481" t="s">
        <v>636</v>
      </c>
      <c r="D481">
        <v>2425</v>
      </c>
      <c r="E481" t="s">
        <v>154</v>
      </c>
      <c r="F481" s="109">
        <v>334221</v>
      </c>
      <c r="G481" s="107">
        <f t="shared" si="20"/>
        <v>334221</v>
      </c>
      <c r="H481" s="108">
        <f t="shared" si="21"/>
        <v>0</v>
      </c>
    </row>
    <row r="482" spans="3:8" ht="15">
      <c r="C482" t="s">
        <v>637</v>
      </c>
      <c r="D482">
        <v>1306</v>
      </c>
      <c r="E482" t="s">
        <v>155</v>
      </c>
      <c r="F482" s="109">
        <v>65474</v>
      </c>
      <c r="G482" s="107">
        <f t="shared" si="20"/>
        <v>65474</v>
      </c>
      <c r="H482" s="108">
        <f t="shared" si="21"/>
        <v>0</v>
      </c>
    </row>
    <row r="483" spans="3:8" ht="15">
      <c r="C483" t="s">
        <v>638</v>
      </c>
      <c r="D483">
        <v>2351</v>
      </c>
      <c r="E483" t="s">
        <v>918</v>
      </c>
      <c r="F483" s="109">
        <v>64684</v>
      </c>
      <c r="G483" s="107">
        <f t="shared" si="20"/>
        <v>64684</v>
      </c>
      <c r="H483" s="108">
        <f t="shared" si="21"/>
        <v>0</v>
      </c>
    </row>
    <row r="484" spans="3:8" ht="15">
      <c r="C484" t="s">
        <v>639</v>
      </c>
      <c r="D484">
        <v>2334</v>
      </c>
      <c r="E484" t="s">
        <v>157</v>
      </c>
      <c r="F484" s="109">
        <v>42613</v>
      </c>
      <c r="G484" s="107">
        <f t="shared" si="20"/>
        <v>42613</v>
      </c>
      <c r="H484" s="108">
        <f t="shared" si="21"/>
        <v>0</v>
      </c>
    </row>
    <row r="485" spans="3:8" ht="15">
      <c r="C485" t="s">
        <v>640</v>
      </c>
      <c r="D485">
        <v>30089</v>
      </c>
      <c r="E485" t="s">
        <v>158</v>
      </c>
      <c r="F485" s="109">
        <v>99271</v>
      </c>
      <c r="G485" s="107">
        <f t="shared" si="20"/>
        <v>99271</v>
      </c>
      <c r="H485" s="108">
        <f t="shared" si="21"/>
        <v>0</v>
      </c>
    </row>
    <row r="486" spans="3:8" ht="15">
      <c r="C486" t="s">
        <v>641</v>
      </c>
      <c r="D486">
        <v>9324</v>
      </c>
      <c r="E486" t="s">
        <v>919</v>
      </c>
      <c r="F486" s="109">
        <v>10489</v>
      </c>
      <c r="G486" s="107">
        <f t="shared" si="20"/>
        <v>10489</v>
      </c>
      <c r="H486" s="108">
        <f t="shared" si="21"/>
        <v>0</v>
      </c>
    </row>
    <row r="487" spans="3:8" ht="15">
      <c r="C487" t="s">
        <v>642</v>
      </c>
      <c r="D487">
        <v>22066</v>
      </c>
      <c r="E487" t="s">
        <v>160</v>
      </c>
      <c r="F487" s="109">
        <v>465159</v>
      </c>
      <c r="G487" s="107">
        <f t="shared" si="20"/>
        <v>465159</v>
      </c>
      <c r="H487" s="108">
        <f t="shared" si="21"/>
        <v>0</v>
      </c>
    </row>
    <row r="488" spans="3:8" ht="15">
      <c r="C488" t="s">
        <v>643</v>
      </c>
      <c r="D488">
        <v>16356</v>
      </c>
      <c r="E488" t="s">
        <v>161</v>
      </c>
      <c r="F488" s="109">
        <v>31035</v>
      </c>
      <c r="G488" s="107">
        <f t="shared" si="20"/>
        <v>31035</v>
      </c>
      <c r="H488" s="108">
        <f t="shared" si="21"/>
        <v>0</v>
      </c>
    </row>
    <row r="489" spans="3:8" ht="15">
      <c r="C489" t="s">
        <v>644</v>
      </c>
      <c r="D489">
        <v>31091</v>
      </c>
      <c r="E489" t="s">
        <v>162</v>
      </c>
      <c r="F489" s="109">
        <v>27853</v>
      </c>
      <c r="G489" s="107">
        <f t="shared" si="20"/>
        <v>27853</v>
      </c>
      <c r="H489" s="108">
        <f t="shared" si="21"/>
        <v>0</v>
      </c>
    </row>
    <row r="490" spans="3:8" ht="15">
      <c r="C490" t="s">
        <v>645</v>
      </c>
      <c r="D490">
        <v>2342</v>
      </c>
      <c r="E490" t="s">
        <v>163</v>
      </c>
      <c r="F490" s="109">
        <v>47431</v>
      </c>
      <c r="G490" s="107">
        <f t="shared" si="20"/>
        <v>47431</v>
      </c>
      <c r="H490" s="108">
        <f t="shared" si="21"/>
        <v>0</v>
      </c>
    </row>
    <row r="491" spans="3:8" ht="15">
      <c r="C491" t="s">
        <v>646</v>
      </c>
      <c r="D491">
        <v>22067</v>
      </c>
      <c r="E491" t="s">
        <v>164</v>
      </c>
      <c r="F491" s="109">
        <v>57244</v>
      </c>
      <c r="G491" s="107">
        <f t="shared" si="20"/>
        <v>57244</v>
      </c>
      <c r="H491" s="108">
        <f t="shared" si="21"/>
        <v>0</v>
      </c>
    </row>
    <row r="492" spans="3:8" ht="15">
      <c r="C492" t="s">
        <v>647</v>
      </c>
      <c r="D492">
        <v>25616</v>
      </c>
      <c r="E492" t="s">
        <v>165</v>
      </c>
      <c r="F492" s="109">
        <v>22917</v>
      </c>
      <c r="G492" s="107">
        <f t="shared" si="20"/>
        <v>22917</v>
      </c>
      <c r="H492" s="108">
        <f t="shared" si="21"/>
        <v>0</v>
      </c>
    </row>
    <row r="493" spans="3:8" ht="15">
      <c r="C493" t="s">
        <v>648</v>
      </c>
      <c r="D493">
        <v>2354</v>
      </c>
      <c r="E493" t="s">
        <v>166</v>
      </c>
      <c r="F493" s="109">
        <v>97518</v>
      </c>
      <c r="G493" s="107">
        <f t="shared" si="20"/>
        <v>97518</v>
      </c>
      <c r="H493" s="108">
        <f t="shared" si="21"/>
        <v>0</v>
      </c>
    </row>
    <row r="494" spans="3:8" ht="15">
      <c r="C494" t="s">
        <v>649</v>
      </c>
      <c r="D494">
        <v>2365</v>
      </c>
      <c r="E494" t="s">
        <v>920</v>
      </c>
      <c r="F494" s="109">
        <v>24388</v>
      </c>
      <c r="G494" s="107">
        <f t="shared" si="20"/>
        <v>24388</v>
      </c>
      <c r="H494" s="108">
        <f t="shared" si="21"/>
        <v>0</v>
      </c>
    </row>
    <row r="495" spans="3:8" ht="15">
      <c r="C495" t="s">
        <v>650</v>
      </c>
      <c r="D495">
        <v>2148</v>
      </c>
      <c r="E495" t="s">
        <v>167</v>
      </c>
      <c r="F495" s="109">
        <v>26789</v>
      </c>
      <c r="G495" s="107">
        <f t="shared" si="20"/>
        <v>26789</v>
      </c>
      <c r="H495" s="108">
        <f t="shared" si="21"/>
        <v>0</v>
      </c>
    </row>
    <row r="496" spans="3:8" ht="15">
      <c r="C496" t="s">
        <v>651</v>
      </c>
      <c r="D496">
        <v>1418</v>
      </c>
      <c r="E496" t="s">
        <v>168</v>
      </c>
      <c r="F496" s="109">
        <v>142441</v>
      </c>
      <c r="G496" s="107">
        <f t="shared" si="20"/>
        <v>142441</v>
      </c>
      <c r="H496" s="108">
        <f t="shared" si="21"/>
        <v>0</v>
      </c>
    </row>
    <row r="497" spans="3:8" ht="15">
      <c r="C497" t="s">
        <v>652</v>
      </c>
      <c r="D497">
        <v>12102</v>
      </c>
      <c r="E497" t="s">
        <v>169</v>
      </c>
      <c r="F497" s="109">
        <v>716618</v>
      </c>
      <c r="G497" s="107">
        <f t="shared" si="20"/>
        <v>716618</v>
      </c>
      <c r="H497" s="108">
        <f t="shared" si="21"/>
        <v>0</v>
      </c>
    </row>
    <row r="498" spans="3:8" ht="15">
      <c r="C498" t="s">
        <v>653</v>
      </c>
      <c r="D498">
        <v>2414</v>
      </c>
      <c r="E498" t="s">
        <v>170</v>
      </c>
      <c r="F498" s="109">
        <v>69755</v>
      </c>
      <c r="G498" s="107">
        <f t="shared" si="20"/>
        <v>69755</v>
      </c>
      <c r="H498" s="108">
        <f t="shared" si="21"/>
        <v>0</v>
      </c>
    </row>
    <row r="499" spans="3:8" ht="15">
      <c r="C499" t="s">
        <v>654</v>
      </c>
      <c r="D499">
        <v>6124</v>
      </c>
      <c r="E499" t="s">
        <v>171</v>
      </c>
      <c r="F499" s="109">
        <v>413366</v>
      </c>
      <c r="G499" s="107">
        <f t="shared" si="20"/>
        <v>413366</v>
      </c>
      <c r="H499" s="108">
        <f t="shared" si="21"/>
        <v>0</v>
      </c>
    </row>
    <row r="500" spans="3:8" ht="15">
      <c r="C500" t="s">
        <v>655</v>
      </c>
      <c r="D500">
        <v>4097</v>
      </c>
      <c r="E500" t="s">
        <v>172</v>
      </c>
      <c r="F500" s="109">
        <v>385881</v>
      </c>
      <c r="G500" s="107">
        <f t="shared" si="20"/>
        <v>385881</v>
      </c>
      <c r="H500" s="108">
        <f t="shared" si="21"/>
        <v>0</v>
      </c>
    </row>
    <row r="501" spans="3:8" ht="15">
      <c r="C501" t="s">
        <v>656</v>
      </c>
      <c r="D501">
        <v>1416</v>
      </c>
      <c r="E501" t="s">
        <v>173</v>
      </c>
      <c r="F501" s="109">
        <v>62977</v>
      </c>
      <c r="G501" s="107">
        <f t="shared" si="20"/>
        <v>62977</v>
      </c>
      <c r="H501" s="108">
        <f t="shared" si="21"/>
        <v>0</v>
      </c>
    </row>
    <row r="502" spans="3:8" ht="15">
      <c r="C502" t="s">
        <v>657</v>
      </c>
      <c r="D502">
        <v>1094</v>
      </c>
      <c r="E502" t="s">
        <v>174</v>
      </c>
      <c r="F502" s="109">
        <v>257995</v>
      </c>
      <c r="G502" s="107">
        <f t="shared" si="20"/>
        <v>257995</v>
      </c>
      <c r="H502" s="108">
        <f t="shared" si="21"/>
        <v>0</v>
      </c>
    </row>
    <row r="503" spans="3:8" ht="15">
      <c r="C503" t="s">
        <v>658</v>
      </c>
      <c r="D503">
        <v>15104</v>
      </c>
      <c r="E503" t="s">
        <v>175</v>
      </c>
      <c r="F503" s="109">
        <v>261064</v>
      </c>
      <c r="G503" s="107">
        <f t="shared" si="20"/>
        <v>261064</v>
      </c>
      <c r="H503" s="108">
        <f t="shared" si="21"/>
        <v>0</v>
      </c>
    </row>
    <row r="504" spans="3:8" ht="15">
      <c r="C504" t="s">
        <v>659</v>
      </c>
      <c r="D504">
        <v>2520</v>
      </c>
      <c r="E504" t="s">
        <v>176</v>
      </c>
      <c r="F504" s="109">
        <v>53259</v>
      </c>
      <c r="G504" s="107">
        <f t="shared" si="20"/>
        <v>53259</v>
      </c>
      <c r="H504" s="108">
        <f t="shared" si="21"/>
        <v>0</v>
      </c>
    </row>
    <row r="505" spans="3:8" ht="15">
      <c r="C505" t="s">
        <v>660</v>
      </c>
      <c r="D505">
        <v>3450</v>
      </c>
      <c r="E505" t="s">
        <v>177</v>
      </c>
      <c r="F505" s="109">
        <v>96190</v>
      </c>
      <c r="G505" s="107">
        <f t="shared" si="20"/>
        <v>96190</v>
      </c>
      <c r="H505" s="108">
        <f t="shared" si="21"/>
        <v>0</v>
      </c>
    </row>
    <row r="506" spans="3:8" ht="15">
      <c r="C506" t="s">
        <v>661</v>
      </c>
      <c r="D506">
        <v>4310</v>
      </c>
      <c r="E506" t="s">
        <v>178</v>
      </c>
      <c r="F506" s="109">
        <v>44839</v>
      </c>
      <c r="G506" s="107">
        <f t="shared" si="20"/>
        <v>44839</v>
      </c>
      <c r="H506" s="108">
        <f t="shared" si="21"/>
        <v>0</v>
      </c>
    </row>
    <row r="507" spans="3:8" ht="15">
      <c r="C507" t="s">
        <v>662</v>
      </c>
      <c r="D507">
        <v>2328</v>
      </c>
      <c r="E507" t="s">
        <v>179</v>
      </c>
      <c r="F507" s="109">
        <v>42003</v>
      </c>
      <c r="G507" s="107">
        <f t="shared" si="20"/>
        <v>42003</v>
      </c>
      <c r="H507" s="108">
        <f t="shared" si="21"/>
        <v>0</v>
      </c>
    </row>
    <row r="508" spans="3:8" ht="15">
      <c r="C508" t="s">
        <v>663</v>
      </c>
      <c r="D508">
        <v>12151</v>
      </c>
      <c r="E508" t="s">
        <v>180</v>
      </c>
      <c r="F508" s="109">
        <v>21097</v>
      </c>
      <c r="G508" s="107">
        <f t="shared" si="20"/>
        <v>21097</v>
      </c>
      <c r="H508" s="108">
        <f t="shared" si="21"/>
        <v>0</v>
      </c>
    </row>
    <row r="509" spans="3:8" ht="15">
      <c r="C509" t="s">
        <v>664</v>
      </c>
      <c r="D509">
        <v>17105</v>
      </c>
      <c r="E509" t="s">
        <v>476</v>
      </c>
      <c r="F509" s="109">
        <v>287947</v>
      </c>
      <c r="G509" s="107">
        <f t="shared" si="20"/>
        <v>287947</v>
      </c>
      <c r="H509" s="108">
        <f t="shared" si="21"/>
        <v>0</v>
      </c>
    </row>
    <row r="510" spans="3:8" ht="15">
      <c r="C510" t="s">
        <v>665</v>
      </c>
      <c r="D510">
        <v>4215</v>
      </c>
      <c r="E510" t="s">
        <v>182</v>
      </c>
      <c r="F510" s="109">
        <v>35131</v>
      </c>
      <c r="G510" s="107">
        <f t="shared" si="20"/>
        <v>35131</v>
      </c>
      <c r="H510" s="108">
        <f t="shared" si="21"/>
        <v>0</v>
      </c>
    </row>
    <row r="511" spans="3:8" ht="15">
      <c r="C511" t="s">
        <v>666</v>
      </c>
      <c r="D511" t="s">
        <v>785</v>
      </c>
      <c r="E511" t="s">
        <v>784</v>
      </c>
      <c r="F511" s="109">
        <v>22596</v>
      </c>
      <c r="G511" s="107">
        <f t="shared" si="20"/>
        <v>22596</v>
      </c>
      <c r="H511" s="108">
        <f t="shared" si="21"/>
        <v>0</v>
      </c>
    </row>
    <row r="512" spans="3:8" ht="15">
      <c r="C512" t="s">
        <v>667</v>
      </c>
      <c r="D512">
        <v>2870</v>
      </c>
      <c r="E512" t="s">
        <v>183</v>
      </c>
      <c r="F512" s="109">
        <v>41507</v>
      </c>
      <c r="G512" s="107">
        <f t="shared" si="20"/>
        <v>41507</v>
      </c>
      <c r="H512" s="108">
        <f t="shared" si="21"/>
        <v>0</v>
      </c>
    </row>
    <row r="513" spans="3:8" ht="15">
      <c r="C513" t="s">
        <v>668</v>
      </c>
      <c r="D513">
        <v>29150</v>
      </c>
      <c r="E513" t="s">
        <v>184</v>
      </c>
      <c r="F513" s="109">
        <v>29795</v>
      </c>
      <c r="G513" s="107">
        <f t="shared" si="20"/>
        <v>29795</v>
      </c>
      <c r="H513" s="108">
        <f t="shared" si="21"/>
        <v>0</v>
      </c>
    </row>
    <row r="514" spans="3:8" ht="15">
      <c r="C514" t="s">
        <v>669</v>
      </c>
      <c r="D514">
        <v>3433</v>
      </c>
      <c r="E514" t="s">
        <v>477</v>
      </c>
      <c r="F514" s="109">
        <v>219062</v>
      </c>
      <c r="G514" s="107">
        <f t="shared" si="20"/>
        <v>219062</v>
      </c>
      <c r="H514" s="108">
        <f t="shared" si="21"/>
        <v>0</v>
      </c>
    </row>
    <row r="515" spans="3:8" ht="15">
      <c r="C515" t="s">
        <v>670</v>
      </c>
      <c r="D515">
        <v>12039</v>
      </c>
      <c r="E515" t="s">
        <v>187</v>
      </c>
      <c r="F515" s="109">
        <v>92885</v>
      </c>
      <c r="G515" s="107">
        <f t="shared" si="20"/>
        <v>92885</v>
      </c>
      <c r="H515" s="108">
        <f t="shared" si="21"/>
        <v>0</v>
      </c>
    </row>
    <row r="516" spans="3:8" ht="15">
      <c r="C516" t="s">
        <v>671</v>
      </c>
      <c r="D516">
        <v>12150</v>
      </c>
      <c r="E516" t="s">
        <v>188</v>
      </c>
      <c r="F516" s="109">
        <v>18559</v>
      </c>
      <c r="G516" s="107">
        <f t="shared" si="20"/>
        <v>18559</v>
      </c>
      <c r="H516" s="108">
        <f t="shared" si="21"/>
        <v>0</v>
      </c>
    </row>
    <row r="517" spans="3:8" ht="15">
      <c r="C517" t="s">
        <v>672</v>
      </c>
      <c r="D517">
        <v>20060</v>
      </c>
      <c r="E517" t="s">
        <v>189</v>
      </c>
      <c r="F517" s="109">
        <v>76115</v>
      </c>
      <c r="G517" s="107">
        <f t="shared" ref="G517:G580" si="22">VLOOKUP(D517,$A$9:$C$314,3,FALSE)</f>
        <v>76115</v>
      </c>
      <c r="H517" s="108">
        <f t="shared" si="21"/>
        <v>0</v>
      </c>
    </row>
    <row r="518" spans="3:8" ht="15">
      <c r="C518" t="s">
        <v>673</v>
      </c>
      <c r="D518">
        <v>1001</v>
      </c>
      <c r="E518" t="s">
        <v>190</v>
      </c>
      <c r="F518" s="109">
        <v>297667</v>
      </c>
      <c r="G518" s="107">
        <f t="shared" si="22"/>
        <v>297667</v>
      </c>
      <c r="H518" s="108">
        <f t="shared" ref="H518:H581" si="23">+F518-G518</f>
        <v>0</v>
      </c>
    </row>
    <row r="519" spans="3:8" ht="15">
      <c r="C519" t="s">
        <v>674</v>
      </c>
      <c r="D519">
        <v>11035</v>
      </c>
      <c r="E519" t="s">
        <v>191</v>
      </c>
      <c r="F519" s="109">
        <v>511161</v>
      </c>
      <c r="G519" s="107">
        <f t="shared" si="22"/>
        <v>511161</v>
      </c>
      <c r="H519" s="108">
        <f t="shared" si="23"/>
        <v>0</v>
      </c>
    </row>
    <row r="520" spans="3:8" ht="15">
      <c r="C520" t="s">
        <v>675</v>
      </c>
      <c r="D520">
        <v>2320</v>
      </c>
      <c r="E520" t="s">
        <v>192</v>
      </c>
      <c r="F520" s="109">
        <v>60070</v>
      </c>
      <c r="G520" s="107">
        <f t="shared" si="22"/>
        <v>60070</v>
      </c>
      <c r="H520" s="108">
        <f t="shared" si="23"/>
        <v>0</v>
      </c>
    </row>
    <row r="521" spans="3:8" ht="15">
      <c r="C521" t="s">
        <v>676</v>
      </c>
      <c r="D521">
        <v>28084</v>
      </c>
      <c r="E521" t="s">
        <v>193</v>
      </c>
      <c r="F521" s="109">
        <v>53571</v>
      </c>
      <c r="G521" s="107">
        <f t="shared" si="22"/>
        <v>53571</v>
      </c>
      <c r="H521" s="108">
        <f t="shared" si="23"/>
        <v>0</v>
      </c>
    </row>
    <row r="522" spans="3:8" ht="15">
      <c r="C522" t="s">
        <v>677</v>
      </c>
      <c r="D522">
        <v>20125</v>
      </c>
      <c r="E522" t="s">
        <v>194</v>
      </c>
      <c r="F522" s="109">
        <v>74453</v>
      </c>
      <c r="G522" s="107">
        <f t="shared" si="22"/>
        <v>74453</v>
      </c>
      <c r="H522" s="108">
        <f t="shared" si="23"/>
        <v>0</v>
      </c>
    </row>
    <row r="523" spans="3:8" ht="15">
      <c r="C523" t="s">
        <v>678</v>
      </c>
      <c r="D523">
        <v>7445</v>
      </c>
      <c r="E523" t="s">
        <v>401</v>
      </c>
      <c r="F523" s="109">
        <v>29251</v>
      </c>
      <c r="G523" s="107">
        <f t="shared" si="22"/>
        <v>29251</v>
      </c>
      <c r="H523" s="108">
        <f t="shared" si="23"/>
        <v>0</v>
      </c>
    </row>
    <row r="524" spans="3:8" ht="15">
      <c r="C524" t="s">
        <v>679</v>
      </c>
      <c r="D524">
        <v>9029</v>
      </c>
      <c r="E524" t="s">
        <v>196</v>
      </c>
      <c r="F524" s="109">
        <v>155298</v>
      </c>
      <c r="G524" s="107">
        <f t="shared" si="22"/>
        <v>155298</v>
      </c>
      <c r="H524" s="108">
        <f t="shared" si="23"/>
        <v>0</v>
      </c>
    </row>
    <row r="525" spans="3:8" ht="15">
      <c r="C525" t="s">
        <v>680</v>
      </c>
      <c r="D525">
        <v>2580</v>
      </c>
      <c r="E525" t="s">
        <v>197</v>
      </c>
      <c r="F525" s="109">
        <v>19645</v>
      </c>
      <c r="G525" s="107">
        <f t="shared" si="22"/>
        <v>19645</v>
      </c>
      <c r="H525" s="108">
        <f t="shared" si="23"/>
        <v>0</v>
      </c>
    </row>
    <row r="526" spans="3:8" ht="15">
      <c r="C526" t="s">
        <v>681</v>
      </c>
      <c r="D526">
        <v>20312</v>
      </c>
      <c r="E526" t="s">
        <v>198</v>
      </c>
      <c r="F526" s="109">
        <v>15756</v>
      </c>
      <c r="G526" s="107">
        <f t="shared" si="22"/>
        <v>15756</v>
      </c>
      <c r="H526" s="108">
        <f t="shared" si="23"/>
        <v>0</v>
      </c>
    </row>
    <row r="527" spans="3:8" ht="15">
      <c r="C527" t="s">
        <v>682</v>
      </c>
      <c r="D527">
        <v>26150</v>
      </c>
      <c r="E527" t="s">
        <v>199</v>
      </c>
      <c r="F527" s="109">
        <v>129778</v>
      </c>
      <c r="G527" s="107">
        <f t="shared" si="22"/>
        <v>129778</v>
      </c>
      <c r="H527" s="108">
        <f t="shared" si="23"/>
        <v>0</v>
      </c>
    </row>
    <row r="528" spans="3:8" ht="15">
      <c r="C528" t="s">
        <v>683</v>
      </c>
      <c r="D528">
        <v>5016</v>
      </c>
      <c r="E528" t="s">
        <v>200</v>
      </c>
      <c r="F528" s="109">
        <v>16139</v>
      </c>
      <c r="G528" s="107">
        <f t="shared" si="22"/>
        <v>16139</v>
      </c>
      <c r="H528" s="108">
        <f t="shared" si="23"/>
        <v>0</v>
      </c>
    </row>
    <row r="529" spans="3:8" ht="15">
      <c r="C529" t="s">
        <v>684</v>
      </c>
      <c r="D529">
        <v>6150</v>
      </c>
      <c r="E529" t="s">
        <v>201</v>
      </c>
      <c r="F529" s="109">
        <v>12186</v>
      </c>
      <c r="G529" s="107">
        <f t="shared" si="22"/>
        <v>12186</v>
      </c>
      <c r="H529" s="108">
        <f t="shared" si="23"/>
        <v>0</v>
      </c>
    </row>
    <row r="530" spans="3:8" ht="15">
      <c r="C530" t="s">
        <v>685</v>
      </c>
      <c r="D530">
        <v>4480</v>
      </c>
      <c r="E530" t="s">
        <v>202</v>
      </c>
      <c r="F530" s="109">
        <v>23106</v>
      </c>
      <c r="G530" s="107">
        <f t="shared" si="22"/>
        <v>23106</v>
      </c>
      <c r="H530" s="108">
        <f t="shared" si="23"/>
        <v>0</v>
      </c>
    </row>
    <row r="531" spans="3:8" ht="15">
      <c r="C531" t="s">
        <v>686</v>
      </c>
      <c r="D531">
        <v>2346</v>
      </c>
      <c r="E531" t="s">
        <v>921</v>
      </c>
      <c r="F531" s="109">
        <v>24382</v>
      </c>
      <c r="G531" s="107">
        <f t="shared" si="22"/>
        <v>24382</v>
      </c>
      <c r="H531" s="108">
        <f t="shared" si="23"/>
        <v>0</v>
      </c>
    </row>
    <row r="532" spans="3:8" ht="15">
      <c r="C532" t="s">
        <v>687</v>
      </c>
      <c r="D532">
        <v>28085</v>
      </c>
      <c r="E532" t="s">
        <v>203</v>
      </c>
      <c r="F532" s="109">
        <v>41747</v>
      </c>
      <c r="G532" s="107">
        <f t="shared" si="22"/>
        <v>41747</v>
      </c>
      <c r="H532" s="108">
        <f t="shared" si="23"/>
        <v>0</v>
      </c>
    </row>
    <row r="533" spans="3:8" ht="15">
      <c r="C533" t="s">
        <v>688</v>
      </c>
      <c r="D533">
        <v>3240</v>
      </c>
      <c r="E533" t="s">
        <v>204</v>
      </c>
      <c r="F533" s="109">
        <v>263088</v>
      </c>
      <c r="G533" s="107">
        <f t="shared" si="22"/>
        <v>263088</v>
      </c>
      <c r="H533" s="108">
        <f t="shared" si="23"/>
        <v>0</v>
      </c>
    </row>
    <row r="534" spans="3:8" ht="15">
      <c r="C534" t="s">
        <v>689</v>
      </c>
      <c r="D534">
        <v>12326</v>
      </c>
      <c r="E534" t="s">
        <v>205</v>
      </c>
      <c r="F534" s="109">
        <v>17450</v>
      </c>
      <c r="G534" s="107">
        <f t="shared" si="22"/>
        <v>17450</v>
      </c>
      <c r="H534" s="108">
        <f t="shared" si="23"/>
        <v>0</v>
      </c>
    </row>
    <row r="535" spans="3:8" ht="15">
      <c r="C535" t="s">
        <v>690</v>
      </c>
      <c r="D535">
        <v>2445</v>
      </c>
      <c r="E535" t="s">
        <v>427</v>
      </c>
      <c r="F535" s="109">
        <v>27317</v>
      </c>
      <c r="G535" s="107">
        <f t="shared" si="22"/>
        <v>27317</v>
      </c>
      <c r="H535" s="108">
        <f t="shared" si="23"/>
        <v>0</v>
      </c>
    </row>
    <row r="536" spans="3:8" ht="15">
      <c r="C536" t="s">
        <v>691</v>
      </c>
      <c r="D536">
        <v>29123</v>
      </c>
      <c r="E536" t="s">
        <v>206</v>
      </c>
      <c r="F536" s="109">
        <v>3052297</v>
      </c>
      <c r="G536" s="107">
        <f t="shared" si="22"/>
        <v>3052297</v>
      </c>
      <c r="H536" s="108">
        <f t="shared" si="23"/>
        <v>0</v>
      </c>
    </row>
    <row r="537" spans="3:8" ht="15">
      <c r="C537" t="s">
        <v>692</v>
      </c>
      <c r="D537">
        <v>2318</v>
      </c>
      <c r="E537" t="s">
        <v>207</v>
      </c>
      <c r="F537" s="109">
        <v>58439</v>
      </c>
      <c r="G537" s="107">
        <f t="shared" si="22"/>
        <v>58439</v>
      </c>
      <c r="H537" s="108">
        <f t="shared" si="23"/>
        <v>0</v>
      </c>
    </row>
    <row r="538" spans="3:8" ht="15">
      <c r="C538" t="s">
        <v>693</v>
      </c>
      <c r="D538">
        <v>3250</v>
      </c>
      <c r="E538" t="s">
        <v>208</v>
      </c>
      <c r="F538" s="109">
        <v>87699</v>
      </c>
      <c r="G538" s="107">
        <f t="shared" si="22"/>
        <v>87699</v>
      </c>
      <c r="H538" s="108">
        <f t="shared" si="23"/>
        <v>0</v>
      </c>
    </row>
    <row r="539" spans="3:8" ht="15">
      <c r="C539" t="s">
        <v>694</v>
      </c>
      <c r="D539">
        <v>2313</v>
      </c>
      <c r="E539" t="s">
        <v>209</v>
      </c>
      <c r="F539" s="109">
        <v>11570</v>
      </c>
      <c r="G539" s="107">
        <f t="shared" si="22"/>
        <v>11570</v>
      </c>
      <c r="H539" s="108">
        <f t="shared" si="23"/>
        <v>0</v>
      </c>
    </row>
    <row r="540" spans="3:8" ht="15">
      <c r="C540" t="s">
        <v>695</v>
      </c>
      <c r="D540">
        <v>4011</v>
      </c>
      <c r="E540" t="s">
        <v>210</v>
      </c>
      <c r="F540" s="109">
        <v>1740314</v>
      </c>
      <c r="G540" s="107">
        <f t="shared" si="22"/>
        <v>1740314</v>
      </c>
      <c r="H540" s="108">
        <f t="shared" si="23"/>
        <v>0</v>
      </c>
    </row>
    <row r="541" spans="3:8" ht="15">
      <c r="C541" t="s">
        <v>696</v>
      </c>
      <c r="D541">
        <v>31092</v>
      </c>
      <c r="E541" t="s">
        <v>211</v>
      </c>
      <c r="F541" s="109">
        <v>28099</v>
      </c>
      <c r="G541" s="107">
        <f t="shared" si="22"/>
        <v>28099</v>
      </c>
      <c r="H541" s="108">
        <f t="shared" si="23"/>
        <v>0</v>
      </c>
    </row>
    <row r="542" spans="3:8" ht="15">
      <c r="C542" t="s">
        <v>697</v>
      </c>
      <c r="D542">
        <v>26081</v>
      </c>
      <c r="E542" t="s">
        <v>212</v>
      </c>
      <c r="F542" s="109">
        <v>299537</v>
      </c>
      <c r="G542" s="107">
        <f t="shared" si="22"/>
        <v>299537</v>
      </c>
      <c r="H542" s="108">
        <f t="shared" si="23"/>
        <v>0</v>
      </c>
    </row>
    <row r="543" spans="3:8" ht="15">
      <c r="C543" t="s">
        <v>698</v>
      </c>
      <c r="D543">
        <v>29305</v>
      </c>
      <c r="E543" t="s">
        <v>213</v>
      </c>
      <c r="F543" s="109">
        <v>16184</v>
      </c>
      <c r="G543" s="107">
        <f t="shared" si="22"/>
        <v>16184</v>
      </c>
      <c r="H543" s="108">
        <f t="shared" si="23"/>
        <v>0</v>
      </c>
    </row>
    <row r="544" spans="3:8" ht="15">
      <c r="C544" t="s">
        <v>699</v>
      </c>
      <c r="D544">
        <v>10032</v>
      </c>
      <c r="E544" t="s">
        <v>214</v>
      </c>
      <c r="F544" s="109">
        <v>38180</v>
      </c>
      <c r="G544" s="107">
        <f t="shared" si="22"/>
        <v>38180</v>
      </c>
      <c r="H544" s="108">
        <f t="shared" si="23"/>
        <v>0</v>
      </c>
    </row>
    <row r="545" spans="3:8" ht="15">
      <c r="C545" t="s">
        <v>700</v>
      </c>
      <c r="D545">
        <v>32107</v>
      </c>
      <c r="E545" t="s">
        <v>215</v>
      </c>
      <c r="F545" s="109">
        <v>48719</v>
      </c>
      <c r="G545" s="107">
        <f t="shared" si="22"/>
        <v>48719</v>
      </c>
      <c r="H545" s="108">
        <f t="shared" si="23"/>
        <v>0</v>
      </c>
    </row>
    <row r="546" spans="3:8" ht="15">
      <c r="C546" t="s">
        <v>701</v>
      </c>
      <c r="D546">
        <v>3260</v>
      </c>
      <c r="E546" t="s">
        <v>216</v>
      </c>
      <c r="F546" s="109">
        <v>729198</v>
      </c>
      <c r="G546" s="107">
        <f t="shared" si="22"/>
        <v>729198</v>
      </c>
      <c r="H546" s="108">
        <f t="shared" si="23"/>
        <v>0</v>
      </c>
    </row>
    <row r="547" spans="3:8" ht="15">
      <c r="C547" t="s">
        <v>702</v>
      </c>
      <c r="D547">
        <v>4390</v>
      </c>
      <c r="E547" t="s">
        <v>217</v>
      </c>
      <c r="F547" s="109">
        <v>8751</v>
      </c>
      <c r="G547" s="107">
        <f t="shared" si="22"/>
        <v>8751</v>
      </c>
      <c r="H547" s="108">
        <f t="shared" si="23"/>
        <v>0</v>
      </c>
    </row>
    <row r="548" spans="3:8" ht="15">
      <c r="C548" t="s">
        <v>703</v>
      </c>
      <c r="D548">
        <v>3270</v>
      </c>
      <c r="E548" t="s">
        <v>218</v>
      </c>
      <c r="F548" s="109">
        <v>111338</v>
      </c>
      <c r="G548" s="107">
        <f t="shared" si="22"/>
        <v>111338</v>
      </c>
      <c r="H548" s="108">
        <f t="shared" si="23"/>
        <v>0</v>
      </c>
    </row>
    <row r="549" spans="3:8" ht="15">
      <c r="C549" t="s">
        <v>704</v>
      </c>
      <c r="D549">
        <v>29303</v>
      </c>
      <c r="E549" t="s">
        <v>219</v>
      </c>
      <c r="F549" s="109">
        <v>32257</v>
      </c>
      <c r="G549" s="107">
        <f t="shared" si="22"/>
        <v>32257</v>
      </c>
      <c r="H549" s="108">
        <f t="shared" si="23"/>
        <v>0</v>
      </c>
    </row>
    <row r="550" spans="3:8" ht="15">
      <c r="C550" t="s">
        <v>705</v>
      </c>
      <c r="D550">
        <v>3280</v>
      </c>
      <c r="E550" t="s">
        <v>412</v>
      </c>
      <c r="F550" s="109">
        <v>572187</v>
      </c>
      <c r="G550" s="107">
        <f t="shared" si="22"/>
        <v>572187</v>
      </c>
      <c r="H550" s="108">
        <f t="shared" si="23"/>
        <v>0</v>
      </c>
    </row>
    <row r="551" spans="3:8" ht="15">
      <c r="C551" t="s">
        <v>706</v>
      </c>
      <c r="D551">
        <v>4260</v>
      </c>
      <c r="E551" t="s">
        <v>221</v>
      </c>
      <c r="F551" s="109">
        <v>41686</v>
      </c>
      <c r="G551" s="107">
        <f t="shared" si="22"/>
        <v>41686</v>
      </c>
      <c r="H551" s="108">
        <f t="shared" si="23"/>
        <v>0</v>
      </c>
    </row>
    <row r="552" spans="3:8" ht="15">
      <c r="C552" t="s">
        <v>707</v>
      </c>
      <c r="D552">
        <v>1003</v>
      </c>
      <c r="E552" t="s">
        <v>222</v>
      </c>
      <c r="F552" s="109">
        <v>621939</v>
      </c>
      <c r="G552" s="107">
        <f t="shared" si="22"/>
        <v>621939</v>
      </c>
      <c r="H552" s="108">
        <f t="shared" si="23"/>
        <v>0</v>
      </c>
    </row>
    <row r="553" spans="3:8" ht="15">
      <c r="C553" t="s">
        <v>708</v>
      </c>
      <c r="D553">
        <v>3290</v>
      </c>
      <c r="E553" t="s">
        <v>223</v>
      </c>
      <c r="F553" s="109">
        <v>1315936</v>
      </c>
      <c r="G553" s="107">
        <f t="shared" si="22"/>
        <v>1315936</v>
      </c>
      <c r="H553" s="108">
        <f t="shared" si="23"/>
        <v>0</v>
      </c>
    </row>
    <row r="554" spans="3:8" ht="15">
      <c r="C554" t="s">
        <v>709</v>
      </c>
      <c r="D554">
        <v>1002</v>
      </c>
      <c r="E554" t="s">
        <v>224</v>
      </c>
      <c r="F554" s="109">
        <v>1973340</v>
      </c>
      <c r="G554" s="107">
        <f t="shared" si="22"/>
        <v>1973340</v>
      </c>
      <c r="H554" s="108">
        <f t="shared" si="23"/>
        <v>0</v>
      </c>
    </row>
    <row r="555" spans="3:8" ht="15">
      <c r="C555" t="s">
        <v>710</v>
      </c>
      <c r="D555">
        <v>4270</v>
      </c>
      <c r="E555" t="s">
        <v>413</v>
      </c>
      <c r="F555" s="109">
        <v>47015</v>
      </c>
      <c r="G555" s="107">
        <f t="shared" si="22"/>
        <v>47015</v>
      </c>
      <c r="H555" s="108">
        <f t="shared" si="23"/>
        <v>0</v>
      </c>
    </row>
    <row r="556" spans="3:8" ht="15">
      <c r="C556" t="s">
        <v>711</v>
      </c>
      <c r="D556">
        <v>24072</v>
      </c>
      <c r="E556" t="s">
        <v>225</v>
      </c>
      <c r="F556" s="109">
        <v>153908</v>
      </c>
      <c r="G556" s="107">
        <f t="shared" si="22"/>
        <v>153908</v>
      </c>
      <c r="H556" s="108">
        <f t="shared" si="23"/>
        <v>0</v>
      </c>
    </row>
    <row r="557" spans="3:8" ht="15">
      <c r="C557" t="s">
        <v>712</v>
      </c>
      <c r="D557">
        <v>14366</v>
      </c>
      <c r="E557" t="s">
        <v>226</v>
      </c>
      <c r="F557" s="109">
        <v>102722</v>
      </c>
      <c r="G557" s="107">
        <f t="shared" si="22"/>
        <v>102722</v>
      </c>
      <c r="H557" s="108">
        <f t="shared" si="23"/>
        <v>0</v>
      </c>
    </row>
    <row r="558" spans="3:8" ht="15">
      <c r="C558" t="s">
        <v>713</v>
      </c>
      <c r="D558">
        <v>7338</v>
      </c>
      <c r="E558" t="s">
        <v>922</v>
      </c>
      <c r="F558" s="109">
        <v>33201</v>
      </c>
      <c r="G558" s="107">
        <f t="shared" si="22"/>
        <v>33201</v>
      </c>
      <c r="H558" s="108">
        <f t="shared" si="23"/>
        <v>0</v>
      </c>
    </row>
    <row r="559" spans="3:8" ht="15">
      <c r="C559" t="s">
        <v>714</v>
      </c>
      <c r="D559">
        <v>4317</v>
      </c>
      <c r="E559" t="s">
        <v>227</v>
      </c>
      <c r="F559" s="109">
        <v>29420</v>
      </c>
      <c r="G559" s="107">
        <f t="shared" si="22"/>
        <v>29420</v>
      </c>
      <c r="H559" s="108">
        <f t="shared" si="23"/>
        <v>0</v>
      </c>
    </row>
    <row r="560" spans="3:8" ht="15">
      <c r="C560" t="s">
        <v>715</v>
      </c>
      <c r="D560">
        <v>2433</v>
      </c>
      <c r="E560" t="s">
        <v>228</v>
      </c>
      <c r="F560" s="109">
        <v>75507</v>
      </c>
      <c r="G560" s="107">
        <f t="shared" si="22"/>
        <v>75507</v>
      </c>
      <c r="H560" s="108">
        <f t="shared" si="23"/>
        <v>0</v>
      </c>
    </row>
    <row r="561" spans="3:8" ht="15">
      <c r="C561" t="s">
        <v>716</v>
      </c>
      <c r="D561">
        <v>3300</v>
      </c>
      <c r="E561" t="s">
        <v>414</v>
      </c>
      <c r="F561" s="109">
        <v>91931</v>
      </c>
      <c r="G561" s="107">
        <f t="shared" si="22"/>
        <v>91931</v>
      </c>
      <c r="H561" s="108">
        <f t="shared" si="23"/>
        <v>0</v>
      </c>
    </row>
    <row r="562" spans="3:8" ht="15">
      <c r="C562" t="s">
        <v>717</v>
      </c>
      <c r="D562">
        <v>8026</v>
      </c>
      <c r="E562" t="s">
        <v>230</v>
      </c>
      <c r="F562" s="109">
        <v>434510</v>
      </c>
      <c r="G562" s="107">
        <f t="shared" si="22"/>
        <v>434510</v>
      </c>
      <c r="H562" s="108">
        <f t="shared" si="23"/>
        <v>0</v>
      </c>
    </row>
    <row r="563" spans="3:8" ht="15">
      <c r="C563" t="s">
        <v>718</v>
      </c>
      <c r="D563">
        <v>13438</v>
      </c>
      <c r="E563" t="s">
        <v>231</v>
      </c>
      <c r="F563" s="109">
        <v>13694</v>
      </c>
      <c r="G563" s="107">
        <f t="shared" si="22"/>
        <v>13694</v>
      </c>
      <c r="H563" s="108">
        <f t="shared" si="23"/>
        <v>0</v>
      </c>
    </row>
    <row r="564" spans="3:8" ht="15">
      <c r="C564" t="s">
        <v>719</v>
      </c>
      <c r="D564">
        <v>25076</v>
      </c>
      <c r="E564" t="s">
        <v>232</v>
      </c>
      <c r="F564" s="109">
        <v>252111</v>
      </c>
      <c r="G564" s="107">
        <f t="shared" si="22"/>
        <v>252111</v>
      </c>
      <c r="H564" s="108">
        <f t="shared" si="23"/>
        <v>0</v>
      </c>
    </row>
    <row r="565" spans="3:8" ht="15">
      <c r="C565" t="s">
        <v>720</v>
      </c>
      <c r="D565">
        <v>2440</v>
      </c>
      <c r="E565" t="s">
        <v>396</v>
      </c>
      <c r="F565" s="109">
        <v>57923</v>
      </c>
      <c r="G565" s="107">
        <f t="shared" si="22"/>
        <v>57923</v>
      </c>
      <c r="H565" s="108">
        <f t="shared" si="23"/>
        <v>0</v>
      </c>
    </row>
    <row r="566" spans="3:8" ht="15">
      <c r="C566" t="s">
        <v>721</v>
      </c>
      <c r="D566">
        <v>2309</v>
      </c>
      <c r="E566" t="s">
        <v>233</v>
      </c>
      <c r="F566" s="109">
        <v>113124</v>
      </c>
      <c r="G566" s="107">
        <f t="shared" si="22"/>
        <v>113124</v>
      </c>
      <c r="H566" s="108">
        <f t="shared" si="23"/>
        <v>0</v>
      </c>
    </row>
    <row r="567" spans="3:8" ht="15">
      <c r="C567" t="s">
        <v>722</v>
      </c>
      <c r="D567">
        <v>2396</v>
      </c>
      <c r="E567" t="s">
        <v>234</v>
      </c>
      <c r="F567" s="109">
        <v>20674</v>
      </c>
      <c r="G567" s="107">
        <f t="shared" si="22"/>
        <v>20674</v>
      </c>
      <c r="H567" s="108">
        <f t="shared" si="23"/>
        <v>0</v>
      </c>
    </row>
    <row r="568" spans="3:8" ht="15">
      <c r="C568" t="s">
        <v>723</v>
      </c>
      <c r="D568" t="s">
        <v>721</v>
      </c>
      <c r="E568" t="s">
        <v>455</v>
      </c>
      <c r="F568" s="109">
        <v>243992</v>
      </c>
      <c r="G568" s="107">
        <f t="shared" si="22"/>
        <v>243992</v>
      </c>
      <c r="H568" s="108">
        <f t="shared" si="23"/>
        <v>0</v>
      </c>
    </row>
    <row r="569" spans="3:8" ht="15">
      <c r="C569" t="s">
        <v>724</v>
      </c>
      <c r="D569">
        <v>3380</v>
      </c>
      <c r="E569" t="s">
        <v>235</v>
      </c>
      <c r="F569" s="109">
        <v>21875</v>
      </c>
      <c r="G569" s="107">
        <f t="shared" si="22"/>
        <v>21875</v>
      </c>
      <c r="H569" s="108">
        <f t="shared" si="23"/>
        <v>0</v>
      </c>
    </row>
    <row r="570" spans="3:8" ht="15">
      <c r="C570" t="s">
        <v>725</v>
      </c>
      <c r="D570">
        <v>2740</v>
      </c>
      <c r="E570" t="s">
        <v>237</v>
      </c>
      <c r="F570" s="109">
        <v>4436</v>
      </c>
      <c r="G570" s="107">
        <f t="shared" si="22"/>
        <v>4436</v>
      </c>
      <c r="H570" s="108">
        <f t="shared" si="23"/>
        <v>0</v>
      </c>
    </row>
    <row r="571" spans="3:8" ht="15">
      <c r="C571" t="s">
        <v>726</v>
      </c>
      <c r="D571">
        <v>21150</v>
      </c>
      <c r="E571" t="s">
        <v>239</v>
      </c>
      <c r="F571" s="109">
        <v>87657</v>
      </c>
      <c r="G571" s="107">
        <f t="shared" si="22"/>
        <v>87657</v>
      </c>
      <c r="H571" s="108">
        <f t="shared" si="23"/>
        <v>0</v>
      </c>
    </row>
    <row r="572" spans="3:8" ht="15">
      <c r="C572" t="s">
        <v>727</v>
      </c>
      <c r="D572">
        <v>4520</v>
      </c>
      <c r="E572" t="s">
        <v>241</v>
      </c>
      <c r="F572" s="109">
        <v>3444</v>
      </c>
      <c r="G572" s="107">
        <f t="shared" si="22"/>
        <v>3444</v>
      </c>
      <c r="H572" s="108">
        <f t="shared" si="23"/>
        <v>0</v>
      </c>
    </row>
    <row r="573" spans="3:8" ht="15">
      <c r="C573" t="s">
        <v>728</v>
      </c>
      <c r="D573">
        <v>9030</v>
      </c>
      <c r="E573" t="s">
        <v>242</v>
      </c>
      <c r="F573" s="109">
        <v>35561</v>
      </c>
      <c r="G573" s="107">
        <f t="shared" si="22"/>
        <v>35561</v>
      </c>
      <c r="H573" s="108">
        <f t="shared" si="23"/>
        <v>0</v>
      </c>
    </row>
    <row r="574" spans="3:8" ht="15">
      <c r="C574" t="s">
        <v>729</v>
      </c>
      <c r="D574">
        <v>20265</v>
      </c>
      <c r="E574" t="s">
        <v>243</v>
      </c>
      <c r="F574" s="109">
        <v>50668</v>
      </c>
      <c r="G574" s="107">
        <f t="shared" si="22"/>
        <v>50668</v>
      </c>
      <c r="H574" s="108">
        <f t="shared" si="23"/>
        <v>0</v>
      </c>
    </row>
    <row r="575" spans="3:8" ht="15">
      <c r="C575" t="s">
        <v>730</v>
      </c>
      <c r="D575">
        <v>20307</v>
      </c>
      <c r="E575" t="s">
        <v>244</v>
      </c>
      <c r="F575" s="109">
        <v>39989</v>
      </c>
      <c r="G575" s="107">
        <f t="shared" si="22"/>
        <v>39989</v>
      </c>
      <c r="H575" s="108">
        <f t="shared" si="23"/>
        <v>0</v>
      </c>
    </row>
    <row r="576" spans="3:8" ht="15">
      <c r="C576" t="s">
        <v>731</v>
      </c>
      <c r="D576">
        <v>3320</v>
      </c>
      <c r="E576" t="s">
        <v>245</v>
      </c>
      <c r="F576" s="109">
        <v>268707</v>
      </c>
      <c r="G576" s="107">
        <f t="shared" si="22"/>
        <v>268707</v>
      </c>
      <c r="H576" s="108">
        <f t="shared" si="23"/>
        <v>0</v>
      </c>
    </row>
    <row r="577" spans="3:8" ht="15">
      <c r="C577" t="s">
        <v>732</v>
      </c>
      <c r="D577">
        <v>20415</v>
      </c>
      <c r="E577" t="s">
        <v>246</v>
      </c>
      <c r="F577" s="109">
        <v>31973</v>
      </c>
      <c r="G577" s="107">
        <f t="shared" si="22"/>
        <v>31973</v>
      </c>
      <c r="H577" s="108">
        <f t="shared" si="23"/>
        <v>0</v>
      </c>
    </row>
    <row r="578" spans="3:8" ht="15">
      <c r="C578" t="s">
        <v>733</v>
      </c>
      <c r="D578">
        <v>20435</v>
      </c>
      <c r="E578" t="s">
        <v>407</v>
      </c>
      <c r="F578" s="109">
        <v>32297</v>
      </c>
      <c r="G578" s="107">
        <f t="shared" si="22"/>
        <v>32297</v>
      </c>
      <c r="H578" s="108">
        <f t="shared" si="23"/>
        <v>0</v>
      </c>
    </row>
    <row r="579" spans="3:8" ht="15">
      <c r="C579" t="s">
        <v>734</v>
      </c>
      <c r="D579">
        <v>20062</v>
      </c>
      <c r="E579" t="s">
        <v>247</v>
      </c>
      <c r="F579" s="109">
        <v>352938</v>
      </c>
      <c r="G579" s="107">
        <f t="shared" si="22"/>
        <v>352938</v>
      </c>
      <c r="H579" s="108">
        <f t="shared" si="23"/>
        <v>0</v>
      </c>
    </row>
    <row r="580" spans="3:8" ht="15">
      <c r="C580" t="s">
        <v>735</v>
      </c>
      <c r="D580">
        <v>3410</v>
      </c>
      <c r="E580" t="s">
        <v>457</v>
      </c>
      <c r="F580" s="109">
        <v>9959</v>
      </c>
      <c r="G580" s="107">
        <f t="shared" si="22"/>
        <v>9959</v>
      </c>
      <c r="H580" s="108">
        <f t="shared" si="23"/>
        <v>0</v>
      </c>
    </row>
    <row r="581" spans="3:8" ht="15">
      <c r="C581" t="s">
        <v>736</v>
      </c>
      <c r="D581">
        <v>6020</v>
      </c>
      <c r="E581" t="s">
        <v>248</v>
      </c>
      <c r="F581" s="109">
        <v>73208</v>
      </c>
      <c r="G581" s="107">
        <f t="shared" ref="G581:G628" si="24">VLOOKUP(D581,$A$9:$C$314,3,FALSE)</f>
        <v>73208</v>
      </c>
      <c r="H581" s="108">
        <f t="shared" si="23"/>
        <v>0</v>
      </c>
    </row>
    <row r="582" spans="3:8" ht="15">
      <c r="C582" t="s">
        <v>737</v>
      </c>
      <c r="D582">
        <v>2394</v>
      </c>
      <c r="E582" t="s">
        <v>249</v>
      </c>
      <c r="F582" s="109">
        <v>50355</v>
      </c>
      <c r="G582" s="107">
        <f t="shared" si="24"/>
        <v>50355</v>
      </c>
      <c r="H582" s="108">
        <f t="shared" ref="H582:H628" si="25">+F582-G582</f>
        <v>0</v>
      </c>
    </row>
    <row r="583" spans="3:8" ht="15">
      <c r="C583" t="s">
        <v>738</v>
      </c>
      <c r="D583">
        <v>5015</v>
      </c>
      <c r="E583" t="s">
        <v>250</v>
      </c>
      <c r="F583" s="109">
        <v>102203</v>
      </c>
      <c r="G583" s="107">
        <f t="shared" si="24"/>
        <v>102203</v>
      </c>
      <c r="H583" s="108">
        <f t="shared" si="25"/>
        <v>0</v>
      </c>
    </row>
    <row r="584" spans="3:8" ht="15">
      <c r="C584" t="s">
        <v>739</v>
      </c>
      <c r="D584">
        <v>29408</v>
      </c>
      <c r="E584" t="s">
        <v>251</v>
      </c>
      <c r="F584" s="109">
        <v>78191</v>
      </c>
      <c r="G584" s="107">
        <f t="shared" si="24"/>
        <v>78191</v>
      </c>
      <c r="H584" s="108">
        <f t="shared" si="25"/>
        <v>0</v>
      </c>
    </row>
    <row r="585" spans="3:8" ht="15">
      <c r="C585" t="s">
        <v>740</v>
      </c>
      <c r="D585">
        <v>2413</v>
      </c>
      <c r="E585" t="s">
        <v>252</v>
      </c>
      <c r="F585" s="109">
        <v>10178</v>
      </c>
      <c r="G585" s="107">
        <f t="shared" si="24"/>
        <v>10178</v>
      </c>
      <c r="H585" s="108">
        <f t="shared" si="25"/>
        <v>0</v>
      </c>
    </row>
    <row r="586" spans="3:8" ht="15">
      <c r="C586" t="s">
        <v>741</v>
      </c>
      <c r="D586">
        <v>1398</v>
      </c>
      <c r="E586" t="s">
        <v>253</v>
      </c>
      <c r="F586" s="109">
        <v>53980</v>
      </c>
      <c r="G586" s="107">
        <f t="shared" si="24"/>
        <v>53980</v>
      </c>
      <c r="H586" s="108">
        <f t="shared" si="25"/>
        <v>0</v>
      </c>
    </row>
    <row r="587" spans="3:8" ht="15">
      <c r="C587" t="s">
        <v>742</v>
      </c>
      <c r="D587">
        <v>2366</v>
      </c>
      <c r="E587" t="s">
        <v>254</v>
      </c>
      <c r="F587" s="109">
        <v>23703</v>
      </c>
      <c r="G587" s="107">
        <f t="shared" si="24"/>
        <v>23703</v>
      </c>
      <c r="H587" s="108">
        <f t="shared" si="25"/>
        <v>0</v>
      </c>
    </row>
    <row r="588" spans="3:8" ht="15">
      <c r="C588" t="s">
        <v>743</v>
      </c>
      <c r="D588">
        <v>7421</v>
      </c>
      <c r="E588" t="s">
        <v>255</v>
      </c>
      <c r="F588" s="109">
        <v>28861</v>
      </c>
      <c r="G588" s="107">
        <f t="shared" si="24"/>
        <v>28861</v>
      </c>
      <c r="H588" s="108">
        <f t="shared" si="25"/>
        <v>0</v>
      </c>
    </row>
    <row r="589" spans="3:8" ht="15">
      <c r="C589" t="s">
        <v>744</v>
      </c>
      <c r="D589">
        <v>1425</v>
      </c>
      <c r="E589" t="s">
        <v>426</v>
      </c>
      <c r="F589" s="109">
        <v>50544</v>
      </c>
      <c r="G589" s="107">
        <f t="shared" si="24"/>
        <v>50544</v>
      </c>
      <c r="H589" s="108">
        <f t="shared" si="25"/>
        <v>0</v>
      </c>
    </row>
    <row r="590" spans="3:8" ht="15">
      <c r="C590" t="s">
        <v>745</v>
      </c>
      <c r="D590">
        <v>2370</v>
      </c>
      <c r="E590" t="s">
        <v>256</v>
      </c>
      <c r="F590" s="109">
        <v>39038</v>
      </c>
      <c r="G590" s="107">
        <f t="shared" si="24"/>
        <v>39038</v>
      </c>
      <c r="H590" s="108">
        <f t="shared" si="25"/>
        <v>0</v>
      </c>
    </row>
    <row r="591" spans="3:8" ht="15">
      <c r="C591" t="s">
        <v>746</v>
      </c>
      <c r="D591">
        <v>1343</v>
      </c>
      <c r="E591" t="s">
        <v>257</v>
      </c>
      <c r="F591" s="109">
        <v>47178</v>
      </c>
      <c r="G591" s="107">
        <f t="shared" si="24"/>
        <v>47178</v>
      </c>
      <c r="H591" s="108">
        <f t="shared" si="25"/>
        <v>0</v>
      </c>
    </row>
    <row r="592" spans="3:8" ht="15">
      <c r="C592" t="s">
        <v>747</v>
      </c>
      <c r="D592">
        <v>2790</v>
      </c>
      <c r="E592" t="s">
        <v>258</v>
      </c>
      <c r="F592" s="109">
        <v>5064</v>
      </c>
      <c r="G592" s="107">
        <f t="shared" si="24"/>
        <v>5064</v>
      </c>
      <c r="H592" s="108">
        <f t="shared" si="25"/>
        <v>0</v>
      </c>
    </row>
    <row r="593" spans="3:8" ht="15">
      <c r="C593" t="s">
        <v>748</v>
      </c>
      <c r="D593">
        <v>3330</v>
      </c>
      <c r="E593" t="s">
        <v>259</v>
      </c>
      <c r="F593" s="109">
        <v>109987</v>
      </c>
      <c r="G593" s="107">
        <f t="shared" si="24"/>
        <v>109987</v>
      </c>
      <c r="H593" s="108">
        <f t="shared" si="25"/>
        <v>0</v>
      </c>
    </row>
    <row r="594" spans="3:8" ht="15">
      <c r="C594" t="s">
        <v>749</v>
      </c>
      <c r="D594">
        <v>2080</v>
      </c>
      <c r="E594" t="s">
        <v>260</v>
      </c>
      <c r="F594" s="109">
        <v>133880</v>
      </c>
      <c r="G594" s="107">
        <f t="shared" si="24"/>
        <v>133880</v>
      </c>
      <c r="H594" s="108">
        <f t="shared" si="25"/>
        <v>0</v>
      </c>
    </row>
    <row r="595" spans="3:8" ht="15">
      <c r="C595" t="s">
        <v>750</v>
      </c>
      <c r="D595">
        <v>4290</v>
      </c>
      <c r="E595" t="s">
        <v>261</v>
      </c>
      <c r="F595" s="109">
        <v>81962</v>
      </c>
      <c r="G595" s="107">
        <f t="shared" si="24"/>
        <v>81962</v>
      </c>
      <c r="H595" s="108">
        <f t="shared" si="25"/>
        <v>0</v>
      </c>
    </row>
    <row r="596" spans="3:8" ht="15">
      <c r="C596" t="s">
        <v>751</v>
      </c>
      <c r="D596">
        <v>2270</v>
      </c>
      <c r="E596" t="s">
        <v>262</v>
      </c>
      <c r="F596" s="109">
        <v>1914</v>
      </c>
      <c r="G596" s="107">
        <f t="shared" si="24"/>
        <v>1914</v>
      </c>
      <c r="H596" s="108">
        <f t="shared" si="25"/>
        <v>0</v>
      </c>
    </row>
    <row r="597" spans="3:8" ht="15">
      <c r="C597" t="s">
        <v>752</v>
      </c>
      <c r="D597">
        <v>2300</v>
      </c>
      <c r="E597" t="s">
        <v>263</v>
      </c>
      <c r="F597" s="109">
        <v>18862</v>
      </c>
      <c r="G597" s="107">
        <f t="shared" si="24"/>
        <v>18862</v>
      </c>
      <c r="H597" s="108">
        <f t="shared" si="25"/>
        <v>0</v>
      </c>
    </row>
    <row r="598" spans="3:8" ht="15">
      <c r="C598" t="s">
        <v>753</v>
      </c>
      <c r="D598">
        <v>2720</v>
      </c>
      <c r="E598" t="s">
        <v>264</v>
      </c>
      <c r="F598" s="109">
        <v>176231</v>
      </c>
      <c r="G598" s="107">
        <f t="shared" si="24"/>
        <v>176231</v>
      </c>
      <c r="H598" s="108">
        <f t="shared" si="25"/>
        <v>0</v>
      </c>
    </row>
    <row r="599" spans="3:8" ht="15">
      <c r="C599" t="s">
        <v>754</v>
      </c>
      <c r="D599">
        <v>2750</v>
      </c>
      <c r="E599" t="s">
        <v>265</v>
      </c>
      <c r="F599" s="109">
        <v>11526</v>
      </c>
      <c r="G599" s="107">
        <f t="shared" si="24"/>
        <v>11526</v>
      </c>
      <c r="H599" s="108">
        <f t="shared" si="25"/>
        <v>0</v>
      </c>
    </row>
    <row r="600" spans="3:8" ht="15">
      <c r="C600" t="s">
        <v>755</v>
      </c>
      <c r="D600">
        <v>2770</v>
      </c>
      <c r="E600" t="s">
        <v>266</v>
      </c>
      <c r="F600" s="109">
        <v>167115</v>
      </c>
      <c r="G600" s="107">
        <f t="shared" si="24"/>
        <v>167115</v>
      </c>
      <c r="H600" s="108">
        <f t="shared" si="25"/>
        <v>0</v>
      </c>
    </row>
    <row r="601" spans="3:8" ht="15">
      <c r="C601" t="s">
        <v>756</v>
      </c>
      <c r="D601">
        <v>32106</v>
      </c>
      <c r="E601" t="s">
        <v>267</v>
      </c>
      <c r="F601" s="109">
        <v>12648</v>
      </c>
      <c r="G601" s="107">
        <f t="shared" si="24"/>
        <v>12648</v>
      </c>
      <c r="H601" s="108">
        <f t="shared" si="25"/>
        <v>0</v>
      </c>
    </row>
    <row r="602" spans="3:8" ht="15">
      <c r="C602" t="s">
        <v>757</v>
      </c>
      <c r="D602">
        <v>4180</v>
      </c>
      <c r="E602" t="s">
        <v>268</v>
      </c>
      <c r="F602" s="109">
        <v>17418</v>
      </c>
      <c r="G602" s="107">
        <f t="shared" si="24"/>
        <v>17418</v>
      </c>
      <c r="H602" s="108">
        <f t="shared" si="25"/>
        <v>0</v>
      </c>
    </row>
    <row r="603" spans="3:8" ht="15">
      <c r="C603" t="s">
        <v>758</v>
      </c>
      <c r="D603">
        <v>21063</v>
      </c>
      <c r="E603" t="s">
        <v>269</v>
      </c>
      <c r="F603" s="109">
        <v>260685</v>
      </c>
      <c r="G603" s="107">
        <f t="shared" si="24"/>
        <v>260685</v>
      </c>
      <c r="H603" s="108">
        <f t="shared" si="25"/>
        <v>0</v>
      </c>
    </row>
    <row r="604" spans="3:8" ht="15">
      <c r="C604" t="s">
        <v>759</v>
      </c>
      <c r="D604">
        <v>10033</v>
      </c>
      <c r="E604" t="s">
        <v>270</v>
      </c>
      <c r="F604" s="109">
        <v>167335</v>
      </c>
      <c r="G604" s="107">
        <f t="shared" si="24"/>
        <v>167335</v>
      </c>
      <c r="H604" s="108">
        <f t="shared" si="25"/>
        <v>0</v>
      </c>
    </row>
    <row r="605" spans="3:8" ht="15">
      <c r="C605" t="s">
        <v>760</v>
      </c>
      <c r="D605">
        <v>15049</v>
      </c>
      <c r="E605" t="s">
        <v>271</v>
      </c>
      <c r="F605" s="109">
        <v>184068</v>
      </c>
      <c r="G605" s="107">
        <f t="shared" si="24"/>
        <v>184068</v>
      </c>
      <c r="H605" s="108">
        <f t="shared" si="25"/>
        <v>0</v>
      </c>
    </row>
    <row r="606" spans="3:8" ht="15">
      <c r="C606" t="s">
        <v>761</v>
      </c>
      <c r="D606">
        <v>1315</v>
      </c>
      <c r="E606" t="s">
        <v>272</v>
      </c>
      <c r="F606" s="109">
        <v>105929</v>
      </c>
      <c r="G606" s="107">
        <f t="shared" si="24"/>
        <v>105929</v>
      </c>
      <c r="H606" s="108">
        <f t="shared" si="25"/>
        <v>0</v>
      </c>
    </row>
    <row r="607" spans="3:8" ht="15">
      <c r="C607" t="s">
        <v>762</v>
      </c>
      <c r="D607">
        <v>3340</v>
      </c>
      <c r="E607" t="s">
        <v>273</v>
      </c>
      <c r="F607" s="109">
        <v>35528</v>
      </c>
      <c r="G607" s="107">
        <f t="shared" si="24"/>
        <v>35528</v>
      </c>
      <c r="H607" s="108">
        <f t="shared" si="25"/>
        <v>0</v>
      </c>
    </row>
    <row r="608" spans="3:8" ht="15">
      <c r="C608" t="s">
        <v>763</v>
      </c>
      <c r="D608">
        <v>3350</v>
      </c>
      <c r="E608" t="s">
        <v>274</v>
      </c>
      <c r="F608" s="109">
        <v>323884</v>
      </c>
      <c r="G608" s="107">
        <f t="shared" si="24"/>
        <v>323884</v>
      </c>
      <c r="H608" s="108">
        <f t="shared" si="25"/>
        <v>0</v>
      </c>
    </row>
    <row r="609" spans="3:8" ht="15">
      <c r="C609" t="s">
        <v>764</v>
      </c>
      <c r="D609">
        <v>24073</v>
      </c>
      <c r="E609" t="s">
        <v>275</v>
      </c>
      <c r="F609" s="109">
        <v>36338</v>
      </c>
      <c r="G609" s="107">
        <f t="shared" si="24"/>
        <v>36338</v>
      </c>
      <c r="H609" s="108">
        <f t="shared" si="25"/>
        <v>0</v>
      </c>
    </row>
    <row r="610" spans="3:8" ht="15">
      <c r="C610" t="s">
        <v>765</v>
      </c>
      <c r="D610">
        <v>2100</v>
      </c>
      <c r="E610" t="s">
        <v>276</v>
      </c>
      <c r="F610" s="109">
        <v>32658</v>
      </c>
      <c r="G610" s="107">
        <f t="shared" si="24"/>
        <v>32658</v>
      </c>
      <c r="H610" s="108">
        <f t="shared" si="25"/>
        <v>0</v>
      </c>
    </row>
    <row r="611" spans="3:8" ht="15">
      <c r="C611" t="s">
        <v>766</v>
      </c>
      <c r="D611">
        <v>2130</v>
      </c>
      <c r="E611" t="s">
        <v>277</v>
      </c>
      <c r="F611" s="109">
        <v>8436</v>
      </c>
      <c r="G611" s="107">
        <f t="shared" si="24"/>
        <v>8436</v>
      </c>
      <c r="H611" s="108">
        <f t="shared" si="25"/>
        <v>0</v>
      </c>
    </row>
    <row r="612" spans="3:8" ht="15">
      <c r="C612" t="s">
        <v>767</v>
      </c>
      <c r="D612">
        <v>32099</v>
      </c>
      <c r="E612" t="s">
        <v>278</v>
      </c>
      <c r="F612" s="109">
        <v>15293</v>
      </c>
      <c r="G612" s="107">
        <f t="shared" si="24"/>
        <v>15293</v>
      </c>
      <c r="H612" s="108">
        <f t="shared" si="25"/>
        <v>0</v>
      </c>
    </row>
    <row r="613" spans="3:8" ht="15">
      <c r="C613" t="s">
        <v>768</v>
      </c>
      <c r="D613">
        <v>32100</v>
      </c>
      <c r="E613" t="s">
        <v>279</v>
      </c>
      <c r="F613" s="109">
        <v>23952</v>
      </c>
      <c r="G613" s="107">
        <f t="shared" si="24"/>
        <v>23952</v>
      </c>
      <c r="H613" s="108">
        <f t="shared" si="25"/>
        <v>0</v>
      </c>
    </row>
    <row r="614" spans="3:8" ht="15">
      <c r="C614" t="s">
        <v>769</v>
      </c>
      <c r="D614">
        <v>32101</v>
      </c>
      <c r="E614" t="s">
        <v>280</v>
      </c>
      <c r="F614" s="109">
        <v>7907</v>
      </c>
      <c r="G614" s="107">
        <f t="shared" si="24"/>
        <v>7907</v>
      </c>
      <c r="H614" s="108">
        <f t="shared" si="25"/>
        <v>0</v>
      </c>
    </row>
    <row r="615" spans="3:8" ht="15">
      <c r="C615" t="s">
        <v>770</v>
      </c>
      <c r="D615">
        <v>32102</v>
      </c>
      <c r="E615" t="s">
        <v>281</v>
      </c>
      <c r="F615" s="109">
        <v>15264</v>
      </c>
      <c r="G615" s="107">
        <f t="shared" si="24"/>
        <v>15264</v>
      </c>
      <c r="H615" s="108">
        <f t="shared" si="25"/>
        <v>0</v>
      </c>
    </row>
    <row r="616" spans="3:8" ht="15">
      <c r="C616" t="s">
        <v>771</v>
      </c>
      <c r="D616">
        <v>2880</v>
      </c>
      <c r="E616" t="s">
        <v>282</v>
      </c>
      <c r="F616" s="109">
        <v>3896</v>
      </c>
      <c r="G616" s="107">
        <f t="shared" si="24"/>
        <v>3896</v>
      </c>
      <c r="H616" s="108">
        <f t="shared" si="25"/>
        <v>0</v>
      </c>
    </row>
    <row r="617" spans="3:8" ht="15">
      <c r="C617" t="s">
        <v>772</v>
      </c>
      <c r="D617">
        <v>2490</v>
      </c>
      <c r="E617" t="s">
        <v>283</v>
      </c>
      <c r="F617" s="109">
        <v>42963</v>
      </c>
      <c r="G617" s="107">
        <f t="shared" si="24"/>
        <v>42963</v>
      </c>
      <c r="H617" s="108">
        <f t="shared" si="25"/>
        <v>0</v>
      </c>
    </row>
    <row r="618" spans="3:8" ht="15">
      <c r="C618" t="s">
        <v>773</v>
      </c>
      <c r="D618">
        <v>2530</v>
      </c>
      <c r="E618" t="s">
        <v>284</v>
      </c>
      <c r="F618" s="109">
        <v>9214</v>
      </c>
      <c r="G618" s="107">
        <f t="shared" si="24"/>
        <v>9214</v>
      </c>
      <c r="H618" s="108">
        <f t="shared" si="25"/>
        <v>0</v>
      </c>
    </row>
    <row r="619" spans="3:8" ht="15">
      <c r="C619" t="s">
        <v>774</v>
      </c>
      <c r="D619">
        <v>2560</v>
      </c>
      <c r="E619" t="s">
        <v>285</v>
      </c>
      <c r="F619" s="109">
        <v>21327</v>
      </c>
      <c r="G619" s="107">
        <f t="shared" si="24"/>
        <v>21327</v>
      </c>
      <c r="H619" s="108">
        <f t="shared" si="25"/>
        <v>0</v>
      </c>
    </row>
    <row r="620" spans="3:8" ht="15">
      <c r="C620" t="s">
        <v>775</v>
      </c>
      <c r="D620">
        <v>2610</v>
      </c>
      <c r="E620" t="s">
        <v>286</v>
      </c>
      <c r="F620" s="109">
        <v>4326</v>
      </c>
      <c r="G620" s="107">
        <f t="shared" si="24"/>
        <v>4326</v>
      </c>
      <c r="H620" s="108">
        <f t="shared" si="25"/>
        <v>0</v>
      </c>
    </row>
    <row r="621" spans="3:8" ht="15">
      <c r="C621" t="s">
        <v>776</v>
      </c>
      <c r="D621">
        <v>2800</v>
      </c>
      <c r="E621" t="s">
        <v>287</v>
      </c>
      <c r="F621" s="109">
        <v>11619</v>
      </c>
      <c r="G621" s="107">
        <f t="shared" si="24"/>
        <v>11619</v>
      </c>
      <c r="H621" s="108">
        <f t="shared" si="25"/>
        <v>0</v>
      </c>
    </row>
    <row r="622" spans="3:8" ht="15">
      <c r="C622" t="s">
        <v>777</v>
      </c>
      <c r="D622">
        <v>20317</v>
      </c>
      <c r="E622" t="s">
        <v>288</v>
      </c>
      <c r="F622" s="109">
        <v>20316</v>
      </c>
      <c r="G622" s="107">
        <f t="shared" si="24"/>
        <v>20316</v>
      </c>
      <c r="H622" s="108">
        <f t="shared" si="25"/>
        <v>0</v>
      </c>
    </row>
    <row r="623" spans="3:8" ht="15">
      <c r="C623" t="s">
        <v>778</v>
      </c>
      <c r="D623">
        <v>2442</v>
      </c>
      <c r="E623" t="s">
        <v>415</v>
      </c>
      <c r="F623" s="109">
        <v>24767</v>
      </c>
      <c r="G623" s="107">
        <f t="shared" si="24"/>
        <v>24767</v>
      </c>
      <c r="H623" s="108">
        <f t="shared" si="25"/>
        <v>0</v>
      </c>
    </row>
    <row r="624" spans="3:8" ht="15">
      <c r="C624" t="s">
        <v>779</v>
      </c>
      <c r="D624">
        <v>30090</v>
      </c>
      <c r="E624" t="s">
        <v>289</v>
      </c>
      <c r="F624" s="109">
        <v>31033</v>
      </c>
      <c r="G624" s="107">
        <f t="shared" si="24"/>
        <v>31033</v>
      </c>
      <c r="H624" s="108">
        <f t="shared" si="25"/>
        <v>0</v>
      </c>
    </row>
    <row r="625" spans="3:8" ht="15">
      <c r="C625" t="s">
        <v>780</v>
      </c>
      <c r="D625">
        <v>29330</v>
      </c>
      <c r="E625" t="s">
        <v>290</v>
      </c>
      <c r="F625" s="109">
        <v>18535</v>
      </c>
      <c r="G625" s="107">
        <f t="shared" si="24"/>
        <v>18535</v>
      </c>
      <c r="H625" s="108">
        <f t="shared" si="25"/>
        <v>0</v>
      </c>
    </row>
    <row r="626" spans="3:8" ht="15">
      <c r="C626" t="s">
        <v>781</v>
      </c>
      <c r="D626">
        <v>12038</v>
      </c>
      <c r="E626" t="s">
        <v>291</v>
      </c>
      <c r="F626" s="109">
        <v>301315</v>
      </c>
      <c r="G626" s="107">
        <f t="shared" si="24"/>
        <v>301315</v>
      </c>
      <c r="H626" s="108">
        <f t="shared" si="25"/>
        <v>0</v>
      </c>
    </row>
    <row r="627" spans="3:8" ht="15">
      <c r="C627" t="s">
        <v>782</v>
      </c>
      <c r="D627">
        <v>8099</v>
      </c>
      <c r="E627" t="s">
        <v>292</v>
      </c>
      <c r="F627" s="109">
        <v>578122</v>
      </c>
      <c r="G627" s="107">
        <f t="shared" si="24"/>
        <v>578122</v>
      </c>
      <c r="H627" s="108">
        <f t="shared" si="25"/>
        <v>0</v>
      </c>
    </row>
    <row r="628" spans="3:8" ht="15">
      <c r="C628" t="s">
        <v>783</v>
      </c>
      <c r="D628">
        <v>13142</v>
      </c>
      <c r="E628" t="s">
        <v>294</v>
      </c>
      <c r="F628" s="109">
        <v>331895</v>
      </c>
      <c r="G628" s="107">
        <f t="shared" si="24"/>
        <v>331895</v>
      </c>
      <c r="H628" s="108">
        <f t="shared" si="25"/>
        <v>0</v>
      </c>
    </row>
    <row r="629" spans="3:8">
      <c r="F629" s="211">
        <f>SUM(F322:F628)</f>
        <v>135613389</v>
      </c>
    </row>
    <row r="630" spans="3:8">
      <c r="F630" s="211"/>
    </row>
    <row r="631" spans="3:8">
      <c r="F631" s="211"/>
    </row>
  </sheetData>
  <mergeCells count="3">
    <mergeCell ref="A1:D1"/>
    <mergeCell ref="A2:D2"/>
    <mergeCell ref="A3:D3"/>
  </mergeCells>
  <printOptions horizontalCentered="1"/>
  <pageMargins left="0.7" right="0.7" top="0.5" bottom="0.5" header="0.5" footer="0.5"/>
  <pageSetup scale="73" firstPageNumber="4" orientation="portrait" useFirstPageNumber="1" r:id="rId1"/>
  <headerFooter scaleWithDoc="0">
    <oddFooter>&amp;C&amp;"Arial,Regular"&amp;10&amp;P</oddFooter>
    <evenHeader xml:space="preserve">&amp;L&amp;"Arial,Bold"&amp;12
</evenHeader>
    <evenFooter>&amp;R&amp;"Arial,Regular"&amp;10&amp;P</evenFooter>
  </headerFooter>
  <rowBreaks count="4" manualBreakCount="4">
    <brk id="72" max="3" man="1"/>
    <brk id="137" max="3" man="1"/>
    <brk id="201" max="3" man="1"/>
    <brk id="259" max="3" man="1"/>
  </rowBreaks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08EE-58B2-4720-B5EF-731975F374BC}">
  <dimension ref="A1"/>
  <sheetViews>
    <sheetView workbookViewId="0"/>
  </sheetViews>
  <sheetFormatPr defaultColWidth="8.5703125" defaultRowHeight="15"/>
  <cols>
    <col min="1" max="16384" width="8.5703125" style="153"/>
  </cols>
  <sheetData/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R333"/>
  <sheetViews>
    <sheetView view="pageBreakPreview" topLeftCell="A228" zoomScaleNormal="100" zoomScaleSheetLayoutView="100" workbookViewId="0">
      <selection activeCell="B143" sqref="B143"/>
    </sheetView>
  </sheetViews>
  <sheetFormatPr defaultRowHeight="12" customHeight="1"/>
  <cols>
    <col min="1" max="1" width="10" customWidth="1"/>
    <col min="2" max="2" width="53.42578125" customWidth="1"/>
    <col min="3" max="3" width="14.42578125" bestFit="1" customWidth="1"/>
    <col min="4" max="4" width="12.42578125" customWidth="1"/>
    <col min="5" max="7" width="13.5703125" customWidth="1"/>
    <col min="8" max="8" width="1" customWidth="1"/>
    <col min="9" max="9" width="13.5703125" customWidth="1"/>
    <col min="10" max="10" width="12.85546875" bestFit="1" customWidth="1"/>
    <col min="11" max="11" width="12.85546875" customWidth="1"/>
    <col min="12" max="12" width="11.5703125" customWidth="1"/>
    <col min="13" max="13" width="13.5703125" customWidth="1"/>
    <col min="14" max="14" width="0.5703125" customWidth="1"/>
    <col min="15" max="15" width="13.5703125" customWidth="1"/>
    <col min="16" max="16" width="11.5703125" customWidth="1"/>
    <col min="17" max="17" width="14.42578125" bestFit="1" customWidth="1"/>
    <col min="18" max="18" width="13.5703125" bestFit="1" customWidth="1"/>
  </cols>
  <sheetData>
    <row r="1" spans="1:18" ht="15" customHeight="1">
      <c r="A1" s="282" t="s">
        <v>378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8" ht="15" customHeight="1">
      <c r="A2" s="283" t="s">
        <v>380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18" ht="15" customHeight="1">
      <c r="A3" s="283" t="s">
        <v>470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</row>
    <row r="4" spans="1:18" ht="15" customHeight="1"/>
    <row r="6" spans="1:18" ht="12" customHeight="1">
      <c r="A6" s="46"/>
      <c r="B6" s="46"/>
      <c r="C6" s="47"/>
      <c r="D6" s="284" t="s">
        <v>364</v>
      </c>
      <c r="E6" s="284"/>
      <c r="F6" s="284"/>
      <c r="G6" s="284"/>
      <c r="H6" s="47"/>
      <c r="I6" s="284" t="s">
        <v>295</v>
      </c>
      <c r="J6" s="284"/>
      <c r="K6" s="284"/>
      <c r="L6" s="284"/>
      <c r="M6" s="284"/>
      <c r="N6" s="46"/>
      <c r="O6" s="284" t="s">
        <v>382</v>
      </c>
      <c r="P6" s="284"/>
      <c r="Q6" s="284"/>
    </row>
    <row r="7" spans="1:18" ht="90.75" customHeight="1">
      <c r="A7" s="48" t="s">
        <v>0</v>
      </c>
      <c r="B7" s="48" t="s">
        <v>1</v>
      </c>
      <c r="C7" s="48" t="s">
        <v>472</v>
      </c>
      <c r="D7" s="48" t="s">
        <v>296</v>
      </c>
      <c r="E7" s="167" t="s">
        <v>298</v>
      </c>
      <c r="F7" s="129" t="s">
        <v>365</v>
      </c>
      <c r="G7" s="129" t="s">
        <v>366</v>
      </c>
      <c r="H7" s="48"/>
      <c r="I7" s="48" t="s">
        <v>296</v>
      </c>
      <c r="J7" s="48" t="s">
        <v>297</v>
      </c>
      <c r="K7" s="48" t="s">
        <v>298</v>
      </c>
      <c r="L7" s="48" t="s">
        <v>365</v>
      </c>
      <c r="M7" s="48" t="s">
        <v>299</v>
      </c>
      <c r="N7" s="48"/>
      <c r="O7" s="48" t="s">
        <v>384</v>
      </c>
      <c r="P7" s="48" t="s">
        <v>377</v>
      </c>
      <c r="Q7" s="48" t="s">
        <v>383</v>
      </c>
    </row>
    <row r="8" spans="1:18" ht="12" customHeight="1">
      <c r="A8" s="49"/>
      <c r="B8" s="50"/>
      <c r="C8" s="50">
        <v>3</v>
      </c>
      <c r="D8" s="50">
        <v>4</v>
      </c>
      <c r="E8" s="50">
        <v>5</v>
      </c>
      <c r="F8" s="73">
        <v>6</v>
      </c>
      <c r="G8" s="73">
        <v>7</v>
      </c>
      <c r="H8" s="73"/>
      <c r="I8" s="50">
        <v>8</v>
      </c>
      <c r="J8" s="50">
        <v>9</v>
      </c>
      <c r="K8" s="50">
        <v>10</v>
      </c>
      <c r="L8" s="50">
        <v>11</v>
      </c>
      <c r="M8" s="50">
        <v>12</v>
      </c>
      <c r="N8" s="50"/>
      <c r="O8" s="50">
        <v>13</v>
      </c>
      <c r="P8" s="50">
        <v>14</v>
      </c>
      <c r="Q8" s="50">
        <v>15</v>
      </c>
    </row>
    <row r="9" spans="1:18" ht="12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8" ht="12" customHeight="1">
      <c r="A10" s="51">
        <v>1341</v>
      </c>
      <c r="B10" s="52" t="s">
        <v>5</v>
      </c>
      <c r="C10" s="115">
        <f>ROUND(VLOOKUP(A10,'Contribution Allocation_Report'!$A$9:$D$314,4,FALSE)*'OPEB Amounts_Report'!$C$321,0)</f>
        <v>390558188</v>
      </c>
      <c r="D10" s="115">
        <f>ROUND(VLOOKUP(A10,'Contribution Allocation_Report'!$A$9:$D$314,4,FALSE)*'OPEB Amounts_Report'!$D$321,0)-10</f>
        <v>2375259</v>
      </c>
      <c r="E10" s="115">
        <f>ROUND(VLOOKUP(A10,'Contribution Allocation_Report'!$A$9:$D$314,4,FALSE)*'OPEB Amounts_Report'!$E$321,0)-4</f>
        <v>56200988</v>
      </c>
      <c r="F10" s="115">
        <f>INDEX('Change in Proportion Layers'!$AE$8:$AE$320,MATCH('OPEB Amounts_Report'!A10,'Change in Proportion Layers'!$A$8:$A$320,0))</f>
        <v>29560305</v>
      </c>
      <c r="G10" s="115">
        <f t="shared" ref="G10:G73" si="0">SUM(D10:F10)</f>
        <v>88136552</v>
      </c>
      <c r="H10" s="115"/>
      <c r="I10" s="115">
        <f>ROUND(VLOOKUP(A10,'Contribution Allocation_Report'!$A$9:$D$314,4,FALSE)*'OPEB Amounts_Report'!$I$321,0)+3</f>
        <v>67107708</v>
      </c>
      <c r="J10" s="115">
        <f>ROUND(VLOOKUP(A10,'Contribution Allocation_Report'!$A$9:$D$314,4,FALSE)*'OPEB Amounts_Report'!$J$321,0)-8</f>
        <v>5908780</v>
      </c>
      <c r="K10" s="115">
        <f>ROUND(VLOOKUP(A10,'Contribution Allocation_Report'!$A$9:$D$314,4,FALSE)*$K$321,0)+5</f>
        <v>180125011</v>
      </c>
      <c r="L10" s="117">
        <f>INDEX('Change in Proportion Layers'!$AF$8:$AF$320,MATCH('OPEB Amounts_Report'!A10,'Change in Proportion Layers'!$A$8:$A$320,0))</f>
        <v>4941672</v>
      </c>
      <c r="M10" s="115">
        <f t="shared" ref="M10:M73" si="1">SUM(I10:L10)</f>
        <v>258083171</v>
      </c>
      <c r="N10" s="116"/>
      <c r="O10" s="116">
        <f>ROUND(VLOOKUP(A10,'Contribution Allocation_Report'!$A$9:$D$314,4,FALSE)*'OPEB Amounts_Report'!$O$321,0)-1</f>
        <v>-66785515</v>
      </c>
      <c r="P10" s="116">
        <f>INDEX('Change in Proportion Layers'!$AC$8:$AC$320,MATCH('OPEB Amounts_Report'!A10,'Change in Proportion Layers'!$A$8:$A$320,0))</f>
        <v>3056379</v>
      </c>
      <c r="Q10" s="116">
        <f>+O10+P10</f>
        <v>-63729136</v>
      </c>
      <c r="R10" s="113"/>
    </row>
    <row r="11" spans="1:18" ht="12" customHeight="1">
      <c r="A11" s="53">
        <v>2308</v>
      </c>
      <c r="B11" s="54" t="s">
        <v>6</v>
      </c>
      <c r="C11" s="148">
        <f>ROUND(VLOOKUP(A11,'Contribution Allocation_Report'!$A$9:$D$314,4,FALSE)*'OPEB Amounts_Report'!$C$321,0)</f>
        <v>638473</v>
      </c>
      <c r="D11" s="148">
        <f>ROUND(VLOOKUP(A11,'Contribution Allocation_Report'!$A$9:$D$314,4,FALSE)*'OPEB Amounts_Report'!$D$321,0)</f>
        <v>3883</v>
      </c>
      <c r="E11" s="148">
        <f>ROUND(VLOOKUP(A11,'Contribution Allocation_Report'!$A$9:$D$314,4,FALSE)*'OPEB Amounts_Report'!$E$321,0)</f>
        <v>91876</v>
      </c>
      <c r="F11" s="148">
        <f>INDEX('Change in Proportion Layers'!$AE$8:$AE$320,MATCH('OPEB Amounts_Report'!A11,'Change in Proportion Layers'!$A$8:$A$320,0))</f>
        <v>178415</v>
      </c>
      <c r="G11" s="148">
        <f t="shared" si="0"/>
        <v>274174</v>
      </c>
      <c r="H11" s="148"/>
      <c r="I11" s="148">
        <f>ROUND(VLOOKUP(A11,'Contribution Allocation_Report'!$A$9:$D$314,4,FALSE)*'OPEB Amounts_Report'!$I$321,0)</f>
        <v>109706</v>
      </c>
      <c r="J11" s="148">
        <f>ROUND(VLOOKUP(A11,'Contribution Allocation_Report'!$A$9:$D$314,4,FALSE)*'OPEB Amounts_Report'!$J$321,0)</f>
        <v>9660</v>
      </c>
      <c r="K11" s="148">
        <f>ROUND(VLOOKUP(A11,'Contribution Allocation_Report'!$A$9:$D$314,4,FALSE)*$K$321,0)</f>
        <v>294463</v>
      </c>
      <c r="L11" s="148">
        <f>INDEX('Change in Proportion Layers'!$AF$8:$AF$320,MATCH('OPEB Amounts_Report'!A11,'Change in Proportion Layers'!$A$8:$A$320,0))</f>
        <v>107911</v>
      </c>
      <c r="M11" s="148">
        <f t="shared" si="1"/>
        <v>521740</v>
      </c>
      <c r="N11" s="220"/>
      <c r="O11" s="220">
        <f>ROUND(VLOOKUP(A11,'Contribution Allocation_Report'!$A$9:$D$314,4,FALSE)*'OPEB Amounts_Report'!$O$321,0)</f>
        <v>-109179</v>
      </c>
      <c r="P11" s="220">
        <f>INDEX('Change in Proportion Layers'!$AC$8:$AC$320,MATCH('OPEB Amounts_Report'!A11,'Change in Proportion Layers'!$A$8:$A$320,0))</f>
        <v>92019</v>
      </c>
      <c r="Q11" s="220">
        <f t="shared" ref="Q11:Q74" si="2">+O11+P11</f>
        <v>-17160</v>
      </c>
    </row>
    <row r="12" spans="1:18" ht="12" customHeight="1">
      <c r="A12" s="51">
        <v>2340</v>
      </c>
      <c r="B12" s="55" t="s">
        <v>7</v>
      </c>
      <c r="C12" s="147">
        <f>ROUND(VLOOKUP(A12,'Contribution Allocation_Report'!$A$9:$D$314,4,FALSE)*'OPEB Amounts_Report'!$C$321,0)</f>
        <v>694397</v>
      </c>
      <c r="D12" s="147">
        <f>ROUND(VLOOKUP(A12,'Contribution Allocation_Report'!$A$9:$D$314,4,FALSE)*'OPEB Amounts_Report'!$D$321,0)</f>
        <v>4223</v>
      </c>
      <c r="E12" s="147">
        <f>ROUND(VLOOKUP(A12,'Contribution Allocation_Report'!$A$9:$D$314,4,FALSE)*'OPEB Amounts_Report'!$E$321,0)</f>
        <v>99923</v>
      </c>
      <c r="F12" s="147">
        <f>INDEX('Change in Proportion Layers'!$AE$8:$AE$320,MATCH('OPEB Amounts_Report'!A12,'Change in Proportion Layers'!$A$8:$A$320,0))</f>
        <v>98791</v>
      </c>
      <c r="G12" s="147">
        <f t="shared" si="0"/>
        <v>202937</v>
      </c>
      <c r="H12" s="147"/>
      <c r="I12" s="147">
        <f>ROUND(VLOOKUP(A12,'Contribution Allocation_Report'!$A$9:$D$314,4,FALSE)*'OPEB Amounts_Report'!$I$321,0)</f>
        <v>119315</v>
      </c>
      <c r="J12" s="147">
        <f>ROUND(VLOOKUP(A12,'Contribution Allocation_Report'!$A$9:$D$314,4,FALSE)*'OPEB Amounts_Report'!$J$321,0)</f>
        <v>10506</v>
      </c>
      <c r="K12" s="147">
        <f>ROUND(VLOOKUP(A12,'Contribution Allocation_Report'!$A$9:$D$314,4,FALSE)*$K$321,0)</f>
        <v>320255</v>
      </c>
      <c r="L12" s="147">
        <f>INDEX('Change in Proportion Layers'!$AF$8:$AF$320,MATCH('OPEB Amounts_Report'!A12,'Change in Proportion Layers'!$A$8:$A$320,0))</f>
        <v>6393</v>
      </c>
      <c r="M12" s="147">
        <f t="shared" si="1"/>
        <v>456469</v>
      </c>
      <c r="N12" s="221"/>
      <c r="O12" s="221">
        <f>ROUND(VLOOKUP(A12,'Contribution Allocation_Report'!$A$9:$D$314,4,FALSE)*'OPEB Amounts_Report'!$O$321,0)</f>
        <v>-118742</v>
      </c>
      <c r="P12" s="221">
        <f>INDEX('Change in Proportion Layers'!$AC$8:$AC$320,MATCH('OPEB Amounts_Report'!A12,'Change in Proportion Layers'!$A$8:$A$320,0))</f>
        <v>22488</v>
      </c>
      <c r="Q12" s="221">
        <f t="shared" si="2"/>
        <v>-96254</v>
      </c>
    </row>
    <row r="13" spans="1:18" ht="12" customHeight="1">
      <c r="A13" s="53">
        <v>1301</v>
      </c>
      <c r="B13" s="54" t="s">
        <v>8</v>
      </c>
      <c r="C13" s="148">
        <f>ROUND(VLOOKUP(A13,'Contribution Allocation_Report'!$A$9:$D$314,4,FALSE)*'OPEB Amounts_Report'!$C$321,0)</f>
        <v>770421</v>
      </c>
      <c r="D13" s="148">
        <f>ROUND(VLOOKUP(A13,'Contribution Allocation_Report'!$A$9:$D$314,4,FALSE)*'OPEB Amounts_Report'!$D$321,0)</f>
        <v>4685</v>
      </c>
      <c r="E13" s="148">
        <f>ROUND(VLOOKUP(A13,'Contribution Allocation_Report'!$A$9:$D$314,4,FALSE)*'OPEB Amounts_Report'!$E$321,0)</f>
        <v>110863</v>
      </c>
      <c r="F13" s="148">
        <f>INDEX('Change in Proportion Layers'!$AE$8:$AE$320,MATCH('OPEB Amounts_Report'!A13,'Change in Proportion Layers'!$A$8:$A$320,0))</f>
        <v>116250</v>
      </c>
      <c r="G13" s="148">
        <f t="shared" si="0"/>
        <v>231798</v>
      </c>
      <c r="H13" s="148"/>
      <c r="I13" s="148">
        <f>ROUND(VLOOKUP(A13,'Contribution Allocation_Report'!$A$9:$D$314,4,FALSE)*'OPEB Amounts_Report'!$I$321,0)</f>
        <v>132378</v>
      </c>
      <c r="J13" s="148">
        <f>ROUND(VLOOKUP(A13,'Contribution Allocation_Report'!$A$9:$D$314,4,FALSE)*'OPEB Amounts_Report'!$J$321,0)</f>
        <v>11656</v>
      </c>
      <c r="K13" s="148">
        <f>ROUND(VLOOKUP(A13,'Contribution Allocation_Report'!$A$9:$D$314,4,FALSE)*$K$321,0)</f>
        <v>355318</v>
      </c>
      <c r="L13" s="148">
        <f>INDEX('Change in Proportion Layers'!$AF$8:$AF$320,MATCH('OPEB Amounts_Report'!A13,'Change in Proportion Layers'!$A$8:$A$320,0))</f>
        <v>52467</v>
      </c>
      <c r="M13" s="148">
        <f t="shared" si="1"/>
        <v>551819</v>
      </c>
      <c r="N13" s="220"/>
      <c r="O13" s="220">
        <f>ROUND(VLOOKUP(A13,'Contribution Allocation_Report'!$A$9:$D$314,4,FALSE)*'OPEB Amounts_Report'!$O$321,0)</f>
        <v>-131742</v>
      </c>
      <c r="P13" s="220">
        <f>INDEX('Change in Proportion Layers'!$AC$8:$AC$320,MATCH('OPEB Amounts_Report'!A13,'Change in Proportion Layers'!$A$8:$A$320,0))</f>
        <v>59426</v>
      </c>
      <c r="Q13" s="220">
        <f t="shared" si="2"/>
        <v>-72316</v>
      </c>
    </row>
    <row r="14" spans="1:18" ht="12" customHeight="1">
      <c r="A14" s="51">
        <v>2390</v>
      </c>
      <c r="B14" s="55" t="s">
        <v>9</v>
      </c>
      <c r="C14" s="147">
        <f>ROUND(VLOOKUP(A14,'Contribution Allocation_Report'!$A$9:$D$314,4,FALSE)*'OPEB Amounts_Report'!$C$321,0)</f>
        <v>578232</v>
      </c>
      <c r="D14" s="147">
        <f>ROUND(VLOOKUP(A14,'Contribution Allocation_Report'!$A$9:$D$314,4,FALSE)*'OPEB Amounts_Report'!$D$321,0)</f>
        <v>3517</v>
      </c>
      <c r="E14" s="147">
        <f>ROUND(VLOOKUP(A14,'Contribution Allocation_Report'!$A$9:$D$314,4,FALSE)*'OPEB Amounts_Report'!$E$321,0)</f>
        <v>83207</v>
      </c>
      <c r="F14" s="147">
        <f>INDEX('Change in Proportion Layers'!$AE$8:$AE$320,MATCH('OPEB Amounts_Report'!A14,'Change in Proportion Layers'!$A$8:$A$320,0))</f>
        <v>176165</v>
      </c>
      <c r="G14" s="147">
        <f t="shared" si="0"/>
        <v>262889</v>
      </c>
      <c r="H14" s="147"/>
      <c r="I14" s="147">
        <f>ROUND(VLOOKUP(A14,'Contribution Allocation_Report'!$A$9:$D$314,4,FALSE)*'OPEB Amounts_Report'!$I$321,0)</f>
        <v>99355</v>
      </c>
      <c r="J14" s="147">
        <f>ROUND(VLOOKUP(A14,'Contribution Allocation_Report'!$A$9:$D$314,4,FALSE)*'OPEB Amounts_Report'!$J$321,0)</f>
        <v>8748</v>
      </c>
      <c r="K14" s="147">
        <f>ROUND(VLOOKUP(A14,'Contribution Allocation_Report'!$A$9:$D$314,4,FALSE)*$K$321,0)</f>
        <v>266680</v>
      </c>
      <c r="L14" s="147">
        <f>INDEX('Change in Proportion Layers'!$AF$8:$AF$320,MATCH('OPEB Amounts_Report'!A14,'Change in Proportion Layers'!$A$8:$A$320,0))</f>
        <v>83131</v>
      </c>
      <c r="M14" s="147">
        <f t="shared" si="1"/>
        <v>457914</v>
      </c>
      <c r="N14" s="221"/>
      <c r="O14" s="221">
        <f>ROUND(VLOOKUP(A14,'Contribution Allocation_Report'!$A$9:$D$314,4,FALSE)*'OPEB Amounts_Report'!$O$321,0)</f>
        <v>-98878</v>
      </c>
      <c r="P14" s="221">
        <f>INDEX('Change in Proportion Layers'!$AC$8:$AC$320,MATCH('OPEB Amounts_Report'!A14,'Change in Proportion Layers'!$A$8:$A$320,0))</f>
        <v>29529</v>
      </c>
      <c r="Q14" s="221">
        <f t="shared" si="2"/>
        <v>-69349</v>
      </c>
    </row>
    <row r="15" spans="1:18" ht="12" customHeight="1">
      <c r="A15" s="53">
        <v>2441</v>
      </c>
      <c r="B15" s="54" t="s">
        <v>408</v>
      </c>
      <c r="C15" s="148">
        <f>ROUND(VLOOKUP(A15,'Contribution Allocation_Report'!$A$9:$D$314,4,FALSE)*'OPEB Amounts_Report'!$C$321,0)</f>
        <v>335169</v>
      </c>
      <c r="D15" s="148">
        <f>ROUND(VLOOKUP(A15,'Contribution Allocation_Report'!$A$9:$D$314,4,FALSE)*'OPEB Amounts_Report'!$D$321,0)</f>
        <v>2038</v>
      </c>
      <c r="E15" s="148">
        <f>ROUND(VLOOKUP(A15,'Contribution Allocation_Report'!$A$9:$D$314,4,FALSE)*'OPEB Amounts_Report'!$E$321,0)</f>
        <v>48231</v>
      </c>
      <c r="F15" s="148">
        <f>INDEX('Change in Proportion Layers'!$AE$8:$AE$320,MATCH('OPEB Amounts_Report'!A15,'Change in Proportion Layers'!$A$8:$A$320,0))</f>
        <v>385179</v>
      </c>
      <c r="G15" s="148">
        <f t="shared" si="0"/>
        <v>435448</v>
      </c>
      <c r="H15" s="148"/>
      <c r="I15" s="148">
        <f>ROUND(VLOOKUP(A15,'Contribution Allocation_Report'!$A$9:$D$314,4,FALSE)*'OPEB Amounts_Report'!$I$321,0)</f>
        <v>57590</v>
      </c>
      <c r="J15" s="148">
        <f>ROUND(VLOOKUP(A15,'Contribution Allocation_Report'!$A$9:$D$314,4,FALSE)*'OPEB Amounts_Report'!$J$321,0)</f>
        <v>5071</v>
      </c>
      <c r="K15" s="148">
        <f>ROUND(VLOOKUP(A15,'Contribution Allocation_Report'!$A$9:$D$314,4,FALSE)*$K$321,0)</f>
        <v>154580</v>
      </c>
      <c r="L15" s="148">
        <f>INDEX('Change in Proportion Layers'!$AF$8:$AF$320,MATCH('OPEB Amounts_Report'!A15,'Change in Proportion Layers'!$A$8:$A$320,0))</f>
        <v>74673</v>
      </c>
      <c r="M15" s="148">
        <f t="shared" si="1"/>
        <v>291914</v>
      </c>
      <c r="N15" s="220"/>
      <c r="O15" s="220">
        <f>ROUND(VLOOKUP(A15,'Contribution Allocation_Report'!$A$9:$D$314,4,FALSE)*'OPEB Amounts_Report'!$O$321,0)</f>
        <v>-57314</v>
      </c>
      <c r="P15" s="220">
        <f>INDEX('Change in Proportion Layers'!$AC$8:$AC$320,MATCH('OPEB Amounts_Report'!A15,'Change in Proportion Layers'!$A$8:$A$320,0))</f>
        <v>152602</v>
      </c>
      <c r="Q15" s="220">
        <f t="shared" si="2"/>
        <v>95288</v>
      </c>
    </row>
    <row r="16" spans="1:18" ht="12" customHeight="1">
      <c r="A16" s="51">
        <v>15046</v>
      </c>
      <c r="B16" s="55" t="s">
        <v>10</v>
      </c>
      <c r="C16" s="147">
        <f>ROUND(VLOOKUP(A16,'Contribution Allocation_Report'!$A$9:$D$314,4,FALSE)*'OPEB Amounts_Report'!$C$321,0)</f>
        <v>11652571</v>
      </c>
      <c r="D16" s="147">
        <f>ROUND(VLOOKUP(A16,'Contribution Allocation_Report'!$A$9:$D$314,4,FALSE)*'OPEB Amounts_Report'!$D$321,0)</f>
        <v>70868</v>
      </c>
      <c r="E16" s="147">
        <f>ROUND(VLOOKUP(A16,'Contribution Allocation_Report'!$A$9:$D$314,4,FALSE)*'OPEB Amounts_Report'!$E$321,0)</f>
        <v>1676795</v>
      </c>
      <c r="F16" s="147">
        <f>INDEX('Change in Proportion Layers'!$AE$8:$AE$320,MATCH('OPEB Amounts_Report'!A16,'Change in Proportion Layers'!$A$8:$A$320,0))</f>
        <v>1653077</v>
      </c>
      <c r="G16" s="147">
        <f t="shared" si="0"/>
        <v>3400740</v>
      </c>
      <c r="H16" s="147"/>
      <c r="I16" s="147">
        <f>ROUND(VLOOKUP(A16,'Contribution Allocation_Report'!$A$9:$D$314,4,FALSE)*'OPEB Amounts_Report'!$I$321,0)</f>
        <v>2002204</v>
      </c>
      <c r="J16" s="147">
        <f>ROUND(VLOOKUP(A16,'Contribution Allocation_Report'!$A$9:$D$314,4,FALSE)*'OPEB Amounts_Report'!$J$321,0)</f>
        <v>176293</v>
      </c>
      <c r="K16" s="147">
        <f>ROUND(VLOOKUP(A16,'Contribution Allocation_Report'!$A$9:$D$314,4,FALSE)*$K$321,0)</f>
        <v>5374153</v>
      </c>
      <c r="L16" s="147">
        <f>INDEX('Change in Proportion Layers'!$AF$8:$AF$320,MATCH('OPEB Amounts_Report'!A16,'Change in Proportion Layers'!$A$8:$A$320,0))</f>
        <v>618116</v>
      </c>
      <c r="M16" s="147">
        <f t="shared" si="1"/>
        <v>8170766</v>
      </c>
      <c r="N16" s="221"/>
      <c r="O16" s="221">
        <f>ROUND(VLOOKUP(A16,'Contribution Allocation_Report'!$A$9:$D$314,4,FALSE)*'OPEB Amounts_Report'!$O$321,0)</f>
        <v>-1992592</v>
      </c>
      <c r="P16" s="221">
        <f>INDEX('Change in Proportion Layers'!$AC$8:$AC$320,MATCH('OPEB Amounts_Report'!A16,'Change in Proportion Layers'!$A$8:$A$320,0))</f>
        <v>564171</v>
      </c>
      <c r="Q16" s="221">
        <f t="shared" si="2"/>
        <v>-1428421</v>
      </c>
    </row>
    <row r="17" spans="1:17" ht="12" customHeight="1">
      <c r="A17" s="53">
        <v>4380</v>
      </c>
      <c r="B17" s="54" t="s">
        <v>11</v>
      </c>
      <c r="C17" s="148">
        <f>ROUND(VLOOKUP(A17,'Contribution Allocation_Report'!$A$9:$D$314,4,FALSE)*'OPEB Amounts_Report'!$C$321,0)</f>
        <v>9349365</v>
      </c>
      <c r="D17" s="148">
        <f>ROUND(VLOOKUP(A17,'Contribution Allocation_Report'!$A$9:$D$314,4,FALSE)*'OPEB Amounts_Report'!$D$321,0)</f>
        <v>56860</v>
      </c>
      <c r="E17" s="148">
        <f>ROUND(VLOOKUP(A17,'Contribution Allocation_Report'!$A$9:$D$314,4,FALSE)*'OPEB Amounts_Report'!$E$321,0)</f>
        <v>1345366</v>
      </c>
      <c r="F17" s="148">
        <f>INDEX('Change in Proportion Layers'!$AE$8:$AE$320,MATCH('OPEB Amounts_Report'!A17,'Change in Proportion Layers'!$A$8:$A$320,0))</f>
        <v>363576</v>
      </c>
      <c r="G17" s="148">
        <f t="shared" si="0"/>
        <v>1765802</v>
      </c>
      <c r="H17" s="148"/>
      <c r="I17" s="148">
        <f>ROUND(VLOOKUP(A17,'Contribution Allocation_Report'!$A$9:$D$314,4,FALSE)*'OPEB Amounts_Report'!$I$321,0)</f>
        <v>1606456</v>
      </c>
      <c r="J17" s="148">
        <f>ROUND(VLOOKUP(A17,'Contribution Allocation_Report'!$A$9:$D$314,4,FALSE)*'OPEB Amounts_Report'!$J$321,0)</f>
        <v>141447</v>
      </c>
      <c r="K17" s="148">
        <f>ROUND(VLOOKUP(A17,'Contribution Allocation_Report'!$A$9:$D$314,4,FALSE)*$K$321,0)</f>
        <v>4311917</v>
      </c>
      <c r="L17" s="148">
        <f>INDEX('Change in Proportion Layers'!$AF$8:$AF$320,MATCH('OPEB Amounts_Report'!A17,'Change in Proportion Layers'!$A$8:$A$320,0))</f>
        <v>2848770</v>
      </c>
      <c r="M17" s="148">
        <f t="shared" si="1"/>
        <v>8908590</v>
      </c>
      <c r="N17" s="220"/>
      <c r="O17" s="220">
        <f>ROUND(VLOOKUP(A17,'Contribution Allocation_Report'!$A$9:$D$314,4,FALSE)*'OPEB Amounts_Report'!$O$321,0)</f>
        <v>-1598743</v>
      </c>
      <c r="P17" s="220">
        <f>INDEX('Change in Proportion Layers'!$AC$8:$AC$320,MATCH('OPEB Amounts_Report'!A17,'Change in Proportion Layers'!$A$8:$A$320,0))</f>
        <v>-1048189</v>
      </c>
      <c r="Q17" s="220">
        <f t="shared" si="2"/>
        <v>-2646932</v>
      </c>
    </row>
    <row r="18" spans="1:17" ht="12" customHeight="1">
      <c r="A18" s="51">
        <v>2343</v>
      </c>
      <c r="B18" s="55" t="s">
        <v>409</v>
      </c>
      <c r="C18" s="147">
        <f>ROUND(VLOOKUP(A18,'Contribution Allocation_Report'!$A$9:$D$314,4,FALSE)*'OPEB Amounts_Report'!$C$321,0)</f>
        <v>684824</v>
      </c>
      <c r="D18" s="147">
        <f>ROUND(VLOOKUP(A18,'Contribution Allocation_Report'!$A$9:$D$314,4,FALSE)*'OPEB Amounts_Report'!$D$321,0)</f>
        <v>4165</v>
      </c>
      <c r="E18" s="147">
        <f>ROUND(VLOOKUP(A18,'Contribution Allocation_Report'!$A$9:$D$314,4,FALSE)*'OPEB Amounts_Report'!$E$321,0)</f>
        <v>98546</v>
      </c>
      <c r="F18" s="147">
        <f>INDEX('Change in Proportion Layers'!$AE$8:$AE$320,MATCH('OPEB Amounts_Report'!A18,'Change in Proportion Layers'!$A$8:$A$320,0))</f>
        <v>334091</v>
      </c>
      <c r="G18" s="147">
        <f t="shared" si="0"/>
        <v>436802</v>
      </c>
      <c r="H18" s="147"/>
      <c r="I18" s="147">
        <f>ROUND(VLOOKUP(A18,'Contribution Allocation_Report'!$A$9:$D$314,4,FALSE)*'OPEB Amounts_Report'!$I$321,0)</f>
        <v>117670</v>
      </c>
      <c r="J18" s="147">
        <f>ROUND(VLOOKUP(A18,'Contribution Allocation_Report'!$A$9:$D$314,4,FALSE)*'OPEB Amounts_Report'!$J$321,0)</f>
        <v>10361</v>
      </c>
      <c r="K18" s="147">
        <f>ROUND(VLOOKUP(A18,'Contribution Allocation_Report'!$A$9:$D$314,4,FALSE)*$K$321,0)</f>
        <v>315840</v>
      </c>
      <c r="L18" s="147">
        <f>INDEX('Change in Proportion Layers'!$AF$8:$AF$320,MATCH('OPEB Amounts_Report'!A18,'Change in Proportion Layers'!$A$8:$A$320,0))</f>
        <v>397931</v>
      </c>
      <c r="M18" s="147">
        <f t="shared" si="1"/>
        <v>841802</v>
      </c>
      <c r="N18" s="221"/>
      <c r="O18" s="221">
        <f>ROUND(VLOOKUP(A18,'Contribution Allocation_Report'!$A$9:$D$314,4,FALSE)*'OPEB Amounts_Report'!$O$321,0)</f>
        <v>-117105</v>
      </c>
      <c r="P18" s="221">
        <f>INDEX('Change in Proportion Layers'!$AC$8:$AC$320,MATCH('OPEB Amounts_Report'!A18,'Change in Proportion Layers'!$A$8:$A$320,0))</f>
        <v>3705</v>
      </c>
      <c r="Q18" s="221">
        <f t="shared" si="2"/>
        <v>-113400</v>
      </c>
    </row>
    <row r="19" spans="1:17" ht="12" customHeight="1">
      <c r="A19" s="53">
        <v>2435</v>
      </c>
      <c r="B19" s="54" t="s">
        <v>391</v>
      </c>
      <c r="C19" s="148">
        <f>ROUND(VLOOKUP(A19,'Contribution Allocation_Report'!$A$9:$D$314,4,FALSE)*'OPEB Amounts_Report'!$C$321,0)</f>
        <v>424130</v>
      </c>
      <c r="D19" s="148">
        <f>ROUND(VLOOKUP(A19,'Contribution Allocation_Report'!$A$9:$D$314,4,FALSE)*'OPEB Amounts_Report'!$D$321,0)</f>
        <v>2579</v>
      </c>
      <c r="E19" s="148">
        <f>ROUND(VLOOKUP(A19,'Contribution Allocation_Report'!$A$9:$D$314,4,FALSE)*'OPEB Amounts_Report'!$E$321,0)</f>
        <v>61032</v>
      </c>
      <c r="F19" s="148">
        <f>INDEX('Change in Proportion Layers'!$AE$8:$AE$320,MATCH('OPEB Amounts_Report'!A19,'Change in Proportion Layers'!$A$8:$A$320,0))</f>
        <v>273171</v>
      </c>
      <c r="G19" s="148">
        <f t="shared" si="0"/>
        <v>336782</v>
      </c>
      <c r="H19" s="148"/>
      <c r="I19" s="148">
        <f>ROUND(VLOOKUP(A19,'Contribution Allocation_Report'!$A$9:$D$314,4,FALSE)*'OPEB Amounts_Report'!$I$321,0)</f>
        <v>72876</v>
      </c>
      <c r="J19" s="148">
        <f>ROUND(VLOOKUP(A19,'Contribution Allocation_Report'!$A$9:$D$314,4,FALSE)*'OPEB Amounts_Report'!$J$321,0)</f>
        <v>6417</v>
      </c>
      <c r="K19" s="148">
        <f>ROUND(VLOOKUP(A19,'Contribution Allocation_Report'!$A$9:$D$314,4,FALSE)*$K$321,0)</f>
        <v>195608</v>
      </c>
      <c r="L19" s="148">
        <f>INDEX('Change in Proportion Layers'!$AF$8:$AF$320,MATCH('OPEB Amounts_Report'!A19,'Change in Proportion Layers'!$A$8:$A$320,0))</f>
        <v>0</v>
      </c>
      <c r="M19" s="148">
        <f t="shared" si="1"/>
        <v>274901</v>
      </c>
      <c r="N19" s="220"/>
      <c r="O19" s="220">
        <f>ROUND(VLOOKUP(A19,'Contribution Allocation_Report'!$A$9:$D$314,4,FALSE)*'OPEB Amounts_Report'!$O$321,0)</f>
        <v>-72526</v>
      </c>
      <c r="P19" s="220">
        <f>INDEX('Change in Proportion Layers'!$AC$8:$AC$320,MATCH('OPEB Amounts_Report'!A19,'Change in Proportion Layers'!$A$8:$A$320,0))</f>
        <v>141862</v>
      </c>
      <c r="Q19" s="220">
        <f t="shared" si="2"/>
        <v>69336</v>
      </c>
    </row>
    <row r="20" spans="1:17" ht="12" customHeight="1">
      <c r="A20" s="51">
        <v>4560</v>
      </c>
      <c r="B20" s="55" t="s">
        <v>12</v>
      </c>
      <c r="C20" s="147">
        <f>ROUND(VLOOKUP(A20,'Contribution Allocation_Report'!$A$9:$D$314,4,FALSE)*'OPEB Amounts_Report'!$C$321,0)</f>
        <v>821399</v>
      </c>
      <c r="D20" s="147">
        <f>ROUND(VLOOKUP(A20,'Contribution Allocation_Report'!$A$9:$D$314,4,FALSE)*'OPEB Amounts_Report'!$D$321,0)</f>
        <v>4996</v>
      </c>
      <c r="E20" s="147">
        <f>ROUND(VLOOKUP(A20,'Contribution Allocation_Report'!$A$9:$D$314,4,FALSE)*'OPEB Amounts_Report'!$E$321,0)</f>
        <v>118199</v>
      </c>
      <c r="F20" s="147">
        <f>INDEX('Change in Proportion Layers'!$AE$8:$AE$320,MATCH('OPEB Amounts_Report'!A20,'Change in Proportion Layers'!$A$8:$A$320,0))</f>
        <v>101816</v>
      </c>
      <c r="G20" s="147">
        <f t="shared" si="0"/>
        <v>225011</v>
      </c>
      <c r="H20" s="147"/>
      <c r="I20" s="147">
        <f>ROUND(VLOOKUP(A20,'Contribution Allocation_Report'!$A$9:$D$314,4,FALSE)*'OPEB Amounts_Report'!$I$321,0)</f>
        <v>141137</v>
      </c>
      <c r="J20" s="147">
        <f>ROUND(VLOOKUP(A20,'Contribution Allocation_Report'!$A$9:$D$314,4,FALSE)*'OPEB Amounts_Report'!$J$321,0)</f>
        <v>12427</v>
      </c>
      <c r="K20" s="147">
        <f>ROUND(VLOOKUP(A20,'Contribution Allocation_Report'!$A$9:$D$314,4,FALSE)*$K$321,0)</f>
        <v>378828</v>
      </c>
      <c r="L20" s="147">
        <f>INDEX('Change in Proportion Layers'!$AF$8:$AF$320,MATCH('OPEB Amounts_Report'!A20,'Change in Proportion Layers'!$A$8:$A$320,0))</f>
        <v>253901</v>
      </c>
      <c r="M20" s="147">
        <f t="shared" si="1"/>
        <v>786293</v>
      </c>
      <c r="N20" s="221"/>
      <c r="O20" s="221">
        <f>ROUND(VLOOKUP(A20,'Contribution Allocation_Report'!$A$9:$D$314,4,FALSE)*'OPEB Amounts_Report'!$O$321,0)</f>
        <v>-140459</v>
      </c>
      <c r="P20" s="221">
        <f>INDEX('Change in Proportion Layers'!$AC$8:$AC$320,MATCH('OPEB Amounts_Report'!A20,'Change in Proportion Layers'!$A$8:$A$320,0))</f>
        <v>-36082</v>
      </c>
      <c r="Q20" s="221">
        <f t="shared" si="2"/>
        <v>-176541</v>
      </c>
    </row>
    <row r="21" spans="1:17" ht="12" customHeight="1">
      <c r="A21" s="53">
        <v>2341</v>
      </c>
      <c r="B21" s="54" t="s">
        <v>406</v>
      </c>
      <c r="C21" s="148">
        <f>ROUND(VLOOKUP(A21,'Contribution Allocation_Report'!$A$9:$D$314,4,FALSE)*'OPEB Amounts_Report'!$C$321,0)</f>
        <v>518715</v>
      </c>
      <c r="D21" s="148">
        <f>ROUND(VLOOKUP(A21,'Contribution Allocation_Report'!$A$9:$D$314,4,FALSE)*'OPEB Amounts_Report'!$D$321,0)</f>
        <v>3155</v>
      </c>
      <c r="E21" s="148">
        <f>ROUND(VLOOKUP(A21,'Contribution Allocation_Report'!$A$9:$D$314,4,FALSE)*'OPEB Amounts_Report'!$E$321,0)</f>
        <v>74643</v>
      </c>
      <c r="F21" s="148">
        <f>INDEX('Change in Proportion Layers'!$AE$8:$AE$320,MATCH('OPEB Amounts_Report'!A21,'Change in Proportion Layers'!$A$8:$A$320,0))</f>
        <v>0</v>
      </c>
      <c r="G21" s="148">
        <f t="shared" si="0"/>
        <v>77798</v>
      </c>
      <c r="H21" s="148"/>
      <c r="I21" s="148">
        <f>ROUND(VLOOKUP(A21,'Contribution Allocation_Report'!$A$9:$D$314,4,FALSE)*'OPEB Amounts_Report'!$I$321,0)</f>
        <v>89128</v>
      </c>
      <c r="J21" s="148">
        <f>ROUND(VLOOKUP(A21,'Contribution Allocation_Report'!$A$9:$D$314,4,FALSE)*'OPEB Amounts_Report'!$J$321,0)</f>
        <v>7848</v>
      </c>
      <c r="K21" s="148">
        <f>ROUND(VLOOKUP(A21,'Contribution Allocation_Report'!$A$9:$D$314,4,FALSE)*$K$321,0)</f>
        <v>239231</v>
      </c>
      <c r="L21" s="148">
        <f>INDEX('Change in Proportion Layers'!$AF$8:$AF$320,MATCH('OPEB Amounts_Report'!A21,'Change in Proportion Layers'!$A$8:$A$320,0))</f>
        <v>89101</v>
      </c>
      <c r="M21" s="148">
        <f t="shared" si="1"/>
        <v>425308</v>
      </c>
      <c r="N21" s="220"/>
      <c r="O21" s="220">
        <f>ROUND(VLOOKUP(A21,'Contribution Allocation_Report'!$A$9:$D$314,4,FALSE)*'OPEB Amounts_Report'!$O$321,0)</f>
        <v>-88700</v>
      </c>
      <c r="P21" s="220">
        <f>INDEX('Change in Proportion Layers'!$AC$8:$AC$320,MATCH('OPEB Amounts_Report'!A21,'Change in Proportion Layers'!$A$8:$A$320,0))</f>
        <v>-45211</v>
      </c>
      <c r="Q21" s="220">
        <f t="shared" si="2"/>
        <v>-133911</v>
      </c>
    </row>
    <row r="22" spans="1:17" ht="12" customHeight="1">
      <c r="A22" s="51">
        <v>4580</v>
      </c>
      <c r="B22" s="55" t="s">
        <v>392</v>
      </c>
      <c r="C22" s="147">
        <f>ROUND(VLOOKUP(A22,'Contribution Allocation_Report'!$A$9:$D$314,4,FALSE)*'OPEB Amounts_Report'!$C$321,0)</f>
        <v>523272</v>
      </c>
      <c r="D22" s="147">
        <f>ROUND(VLOOKUP(A22,'Contribution Allocation_Report'!$A$9:$D$314,4,FALSE)*'OPEB Amounts_Report'!$D$321,0)</f>
        <v>3182</v>
      </c>
      <c r="E22" s="147">
        <f>ROUND(VLOOKUP(A22,'Contribution Allocation_Report'!$A$9:$D$314,4,FALSE)*'OPEB Amounts_Report'!$E$321,0)</f>
        <v>75298</v>
      </c>
      <c r="F22" s="147">
        <f>INDEX('Change in Proportion Layers'!$AE$8:$AE$320,MATCH('OPEB Amounts_Report'!A22,'Change in Proportion Layers'!$A$8:$A$320,0))</f>
        <v>68274</v>
      </c>
      <c r="G22" s="147">
        <f t="shared" si="0"/>
        <v>146754</v>
      </c>
      <c r="H22" s="147"/>
      <c r="I22" s="147">
        <f>ROUND(VLOOKUP(A22,'Contribution Allocation_Report'!$A$9:$D$314,4,FALSE)*'OPEB Amounts_Report'!$I$321,0)</f>
        <v>89911</v>
      </c>
      <c r="J22" s="147">
        <f>ROUND(VLOOKUP(A22,'Contribution Allocation_Report'!$A$9:$D$314,4,FALSE)*'OPEB Amounts_Report'!$J$321,0)</f>
        <v>7917</v>
      </c>
      <c r="K22" s="147">
        <f>ROUND(VLOOKUP(A22,'Contribution Allocation_Report'!$A$9:$D$314,4,FALSE)*$K$321,0)</f>
        <v>241332</v>
      </c>
      <c r="L22" s="147">
        <f>INDEX('Change in Proportion Layers'!$AF$8:$AF$320,MATCH('OPEB Amounts_Report'!A22,'Change in Proportion Layers'!$A$8:$A$320,0))</f>
        <v>33497</v>
      </c>
      <c r="M22" s="147">
        <f t="shared" si="1"/>
        <v>372657</v>
      </c>
      <c r="N22" s="221"/>
      <c r="O22" s="221">
        <f>ROUND(VLOOKUP(A22,'Contribution Allocation_Report'!$A$9:$D$314,4,FALSE)*'OPEB Amounts_Report'!$O$321,0)</f>
        <v>-89480</v>
      </c>
      <c r="P22" s="221">
        <f>INDEX('Change in Proportion Layers'!$AC$8:$AC$320,MATCH('OPEB Amounts_Report'!A22,'Change in Proportion Layers'!$A$8:$A$320,0))</f>
        <v>-1283</v>
      </c>
      <c r="Q22" s="221">
        <f t="shared" si="2"/>
        <v>-90763</v>
      </c>
    </row>
    <row r="23" spans="1:17" ht="12" customHeight="1">
      <c r="A23" s="53">
        <v>2003</v>
      </c>
      <c r="B23" s="54" t="s">
        <v>13</v>
      </c>
      <c r="C23" s="148">
        <f>ROUND(VLOOKUP(A23,'Contribution Allocation_Report'!$A$9:$D$314,4,FALSE)*'OPEB Amounts_Report'!$C$321,0)</f>
        <v>164288029</v>
      </c>
      <c r="D23" s="148">
        <f>ROUND(VLOOKUP(A23,'Contribution Allocation_Report'!$A$9:$D$314,4,FALSE)*'OPEB Amounts_Report'!$D$321,0)</f>
        <v>999155</v>
      </c>
      <c r="E23" s="148">
        <f>ROUND(VLOOKUP(A23,'Contribution Allocation_Report'!$A$9:$D$314,4,FALSE)*'OPEB Amounts_Report'!$E$321,0)</f>
        <v>23640908</v>
      </c>
      <c r="F23" s="148">
        <f>INDEX('Change in Proportion Layers'!$AE$8:$AE$320,MATCH('OPEB Amounts_Report'!A23,'Change in Proportion Layers'!$A$8:$A$320,0))</f>
        <v>1755799</v>
      </c>
      <c r="G23" s="148">
        <f t="shared" si="0"/>
        <v>26395862</v>
      </c>
      <c r="H23" s="148"/>
      <c r="I23" s="148">
        <f>ROUND(VLOOKUP(A23,'Contribution Allocation_Report'!$A$9:$D$314,4,FALSE)*'OPEB Amounts_Report'!$I$321,0)</f>
        <v>28228809</v>
      </c>
      <c r="J23" s="148">
        <f>ROUND(VLOOKUP(A23,'Contribution Allocation_Report'!$A$9:$D$314,4,FALSE)*'OPEB Amounts_Report'!$J$321,0)</f>
        <v>2485528</v>
      </c>
      <c r="K23" s="148">
        <f>ROUND(VLOOKUP(A23,'Contribution Allocation_Report'!$A$9:$D$314,4,FALSE)*$K$321,0)</f>
        <v>75769458</v>
      </c>
      <c r="L23" s="148">
        <f>INDEX('Change in Proportion Layers'!$AF$8:$AF$320,MATCH('OPEB Amounts_Report'!A23,'Change in Proportion Layers'!$A$8:$A$320,0))</f>
        <v>20855198</v>
      </c>
      <c r="M23" s="148">
        <f t="shared" si="1"/>
        <v>127338993</v>
      </c>
      <c r="N23" s="220"/>
      <c r="O23" s="220">
        <f>ROUND(VLOOKUP(A23,'Contribution Allocation_Report'!$A$9:$D$314,4,FALSE)*'OPEB Amounts_Report'!$O$321,0)</f>
        <v>-28093280</v>
      </c>
      <c r="P23" s="220">
        <f>INDEX('Change in Proportion Layers'!$AC$8:$AC$320,MATCH('OPEB Amounts_Report'!A23,'Change in Proportion Layers'!$A$8:$A$320,0))</f>
        <v>-2704960</v>
      </c>
      <c r="Q23" s="220">
        <f t="shared" si="2"/>
        <v>-30798240</v>
      </c>
    </row>
    <row r="24" spans="1:17" ht="12" customHeight="1">
      <c r="A24" s="51">
        <v>2412</v>
      </c>
      <c r="B24" s="55" t="s">
        <v>14</v>
      </c>
      <c r="C24" s="147">
        <f>ROUND(VLOOKUP(A24,'Contribution Allocation_Report'!$A$9:$D$314,4,FALSE)*'OPEB Amounts_Report'!$C$321,0)</f>
        <v>1723688</v>
      </c>
      <c r="D24" s="147">
        <f>ROUND(VLOOKUP(A24,'Contribution Allocation_Report'!$A$9:$D$314,4,FALSE)*'OPEB Amounts_Report'!$D$321,0)</f>
        <v>10483</v>
      </c>
      <c r="E24" s="147">
        <f>ROUND(VLOOKUP(A24,'Contribution Allocation_Report'!$A$9:$D$314,4,FALSE)*'OPEB Amounts_Report'!$E$321,0)</f>
        <v>248037</v>
      </c>
      <c r="F24" s="147">
        <f>INDEX('Change in Proportion Layers'!$AE$8:$AE$320,MATCH('OPEB Amounts_Report'!A24,'Change in Proportion Layers'!$A$8:$A$320,0))</f>
        <v>616064</v>
      </c>
      <c r="G24" s="147">
        <f t="shared" si="0"/>
        <v>874584</v>
      </c>
      <c r="H24" s="147"/>
      <c r="I24" s="147">
        <f>ROUND(VLOOKUP(A24,'Contribution Allocation_Report'!$A$9:$D$314,4,FALSE)*'OPEB Amounts_Report'!$I$321,0)</f>
        <v>296173</v>
      </c>
      <c r="J24" s="147">
        <f>ROUND(VLOOKUP(A24,'Contribution Allocation_Report'!$A$9:$D$314,4,FALSE)*'OPEB Amounts_Report'!$J$321,0)</f>
        <v>26078</v>
      </c>
      <c r="K24" s="147">
        <f>ROUND(VLOOKUP(A24,'Contribution Allocation_Report'!$A$9:$D$314,4,FALSE)*$K$321,0)</f>
        <v>794963</v>
      </c>
      <c r="L24" s="147">
        <f>INDEX('Change in Proportion Layers'!$AF$8:$AF$320,MATCH('OPEB Amounts_Report'!A24,'Change in Proportion Layers'!$A$8:$A$320,0))</f>
        <v>44483</v>
      </c>
      <c r="M24" s="147">
        <f t="shared" si="1"/>
        <v>1161697</v>
      </c>
      <c r="N24" s="221"/>
      <c r="O24" s="221">
        <f>ROUND(VLOOKUP(A24,'Contribution Allocation_Report'!$A$9:$D$314,4,FALSE)*'OPEB Amounts_Report'!$O$321,0)</f>
        <v>-294751</v>
      </c>
      <c r="P24" s="221">
        <f>INDEX('Change in Proportion Layers'!$AC$8:$AC$320,MATCH('OPEB Amounts_Report'!A24,'Change in Proportion Layers'!$A$8:$A$320,0))</f>
        <v>442218</v>
      </c>
      <c r="Q24" s="221">
        <f t="shared" si="2"/>
        <v>147467</v>
      </c>
    </row>
    <row r="25" spans="1:17" ht="12" customHeight="1">
      <c r="A25" s="53">
        <v>2402</v>
      </c>
      <c r="B25" s="54" t="s">
        <v>15</v>
      </c>
      <c r="C25" s="148">
        <f>ROUND(VLOOKUP(A25,'Contribution Allocation_Report'!$A$9:$D$314,4,FALSE)*'OPEB Amounts_Report'!$C$321,0)</f>
        <v>887516</v>
      </c>
      <c r="D25" s="148">
        <f>ROUND(VLOOKUP(A25,'Contribution Allocation_Report'!$A$9:$D$314,4,FALSE)*'OPEB Amounts_Report'!$D$321,0)</f>
        <v>5398</v>
      </c>
      <c r="E25" s="148">
        <f>ROUND(VLOOKUP(A25,'Contribution Allocation_Report'!$A$9:$D$314,4,FALSE)*'OPEB Amounts_Report'!$E$321,0)</f>
        <v>127713</v>
      </c>
      <c r="F25" s="148">
        <f>INDEX('Change in Proportion Layers'!$AE$8:$AE$320,MATCH('OPEB Amounts_Report'!A25,'Change in Proportion Layers'!$A$8:$A$320,0))</f>
        <v>515525</v>
      </c>
      <c r="G25" s="148">
        <f t="shared" si="0"/>
        <v>648636</v>
      </c>
      <c r="H25" s="148"/>
      <c r="I25" s="148">
        <f>ROUND(VLOOKUP(A25,'Contribution Allocation_Report'!$A$9:$D$314,4,FALSE)*'OPEB Amounts_Report'!$I$321,0)</f>
        <v>152498</v>
      </c>
      <c r="J25" s="148">
        <f>ROUND(VLOOKUP(A25,'Contribution Allocation_Report'!$A$9:$D$314,4,FALSE)*'OPEB Amounts_Report'!$J$321,0)</f>
        <v>13427</v>
      </c>
      <c r="K25" s="148">
        <f>ROUND(VLOOKUP(A25,'Contribution Allocation_Report'!$A$9:$D$314,4,FALSE)*$K$321,0)</f>
        <v>409322</v>
      </c>
      <c r="L25" s="148">
        <f>INDEX('Change in Proportion Layers'!$AF$8:$AF$320,MATCH('OPEB Amounts_Report'!A25,'Change in Proportion Layers'!$A$8:$A$320,0))</f>
        <v>0</v>
      </c>
      <c r="M25" s="148">
        <f t="shared" si="1"/>
        <v>575247</v>
      </c>
      <c r="N25" s="220"/>
      <c r="O25" s="220">
        <f>ROUND(VLOOKUP(A25,'Contribution Allocation_Report'!$A$9:$D$314,4,FALSE)*'OPEB Amounts_Report'!$O$321,0)</f>
        <v>-151765</v>
      </c>
      <c r="P25" s="220">
        <f>INDEX('Change in Proportion Layers'!$AC$8:$AC$320,MATCH('OPEB Amounts_Report'!A25,'Change in Proportion Layers'!$A$8:$A$320,0))</f>
        <v>193123</v>
      </c>
      <c r="Q25" s="220">
        <f t="shared" si="2"/>
        <v>41358</v>
      </c>
    </row>
    <row r="26" spans="1:17" ht="12" customHeight="1">
      <c r="A26" s="51">
        <v>2361</v>
      </c>
      <c r="B26" s="55" t="s">
        <v>16</v>
      </c>
      <c r="C26" s="147">
        <f>ROUND(VLOOKUP(A26,'Contribution Allocation_Report'!$A$9:$D$314,4,FALSE)*'OPEB Amounts_Report'!$C$321,0)</f>
        <v>259822</v>
      </c>
      <c r="D26" s="147">
        <f>ROUND(VLOOKUP(A26,'Contribution Allocation_Report'!$A$9:$D$314,4,FALSE)*'OPEB Amounts_Report'!$D$321,0)</f>
        <v>1580</v>
      </c>
      <c r="E26" s="147">
        <f>ROUND(VLOOKUP(A26,'Contribution Allocation_Report'!$A$9:$D$314,4,FALSE)*'OPEB Amounts_Report'!$E$321,0)</f>
        <v>37388</v>
      </c>
      <c r="F26" s="147">
        <f>INDEX('Change in Proportion Layers'!$AE$8:$AE$320,MATCH('OPEB Amounts_Report'!A26,'Change in Proportion Layers'!$A$8:$A$320,0))</f>
        <v>27312</v>
      </c>
      <c r="G26" s="147">
        <f t="shared" si="0"/>
        <v>66280</v>
      </c>
      <c r="H26" s="147"/>
      <c r="I26" s="147">
        <f>ROUND(VLOOKUP(A26,'Contribution Allocation_Report'!$A$9:$D$314,4,FALSE)*'OPEB Amounts_Report'!$I$321,0)</f>
        <v>44644</v>
      </c>
      <c r="J26" s="147">
        <f>ROUND(VLOOKUP(A26,'Contribution Allocation_Report'!$A$9:$D$314,4,FALSE)*'OPEB Amounts_Report'!$J$321,0)</f>
        <v>3931</v>
      </c>
      <c r="K26" s="147">
        <f>ROUND(VLOOKUP(A26,'Contribution Allocation_Report'!$A$9:$D$314,4,FALSE)*$K$321,0)</f>
        <v>119830</v>
      </c>
      <c r="L26" s="147">
        <f>INDEX('Change in Proportion Layers'!$AF$8:$AF$320,MATCH('OPEB Amounts_Report'!A26,'Change in Proportion Layers'!$A$8:$A$320,0))</f>
        <v>127849</v>
      </c>
      <c r="M26" s="147">
        <f t="shared" si="1"/>
        <v>296254</v>
      </c>
      <c r="N26" s="221"/>
      <c r="O26" s="221">
        <f>ROUND(VLOOKUP(A26,'Contribution Allocation_Report'!$A$9:$D$314,4,FALSE)*'OPEB Amounts_Report'!$O$321,0)</f>
        <v>-44430</v>
      </c>
      <c r="P26" s="221">
        <f>INDEX('Change in Proportion Layers'!$AC$8:$AC$320,MATCH('OPEB Amounts_Report'!A26,'Change in Proportion Layers'!$A$8:$A$320,0))</f>
        <v>-48149</v>
      </c>
      <c r="Q26" s="221">
        <f t="shared" si="2"/>
        <v>-92579</v>
      </c>
    </row>
    <row r="27" spans="1:17" ht="12" customHeight="1">
      <c r="A27" s="53">
        <v>8347</v>
      </c>
      <c r="B27" s="54" t="s">
        <v>17</v>
      </c>
      <c r="C27" s="148">
        <f>ROUND(VLOOKUP(A27,'Contribution Allocation_Report'!$A$9:$D$314,4,FALSE)*'OPEB Amounts_Report'!$C$321,0)</f>
        <v>406624</v>
      </c>
      <c r="D27" s="148">
        <f>ROUND(VLOOKUP(A27,'Contribution Allocation_Report'!$A$9:$D$314,4,FALSE)*'OPEB Amounts_Report'!$D$321,0)</f>
        <v>2473</v>
      </c>
      <c r="E27" s="148">
        <f>ROUND(VLOOKUP(A27,'Contribution Allocation_Report'!$A$9:$D$314,4,FALSE)*'OPEB Amounts_Report'!$E$321,0)</f>
        <v>58513</v>
      </c>
      <c r="F27" s="148">
        <f>INDEX('Change in Proportion Layers'!$AE$8:$AE$320,MATCH('OPEB Amounts_Report'!A27,'Change in Proportion Layers'!$A$8:$A$320,0))</f>
        <v>158431</v>
      </c>
      <c r="G27" s="148">
        <f t="shared" si="0"/>
        <v>219417</v>
      </c>
      <c r="H27" s="148"/>
      <c r="I27" s="148">
        <f>ROUND(VLOOKUP(A27,'Contribution Allocation_Report'!$A$9:$D$314,4,FALSE)*'OPEB Amounts_Report'!$I$321,0)</f>
        <v>69868</v>
      </c>
      <c r="J27" s="148">
        <f>ROUND(VLOOKUP(A27,'Contribution Allocation_Report'!$A$9:$D$314,4,FALSE)*'OPEB Amounts_Report'!$J$321,0)</f>
        <v>6152</v>
      </c>
      <c r="K27" s="148">
        <f>ROUND(VLOOKUP(A27,'Contribution Allocation_Report'!$A$9:$D$314,4,FALSE)*$K$321,0)</f>
        <v>187535</v>
      </c>
      <c r="L27" s="148">
        <f>INDEX('Change in Proportion Layers'!$AF$8:$AF$320,MATCH('OPEB Amounts_Report'!A27,'Change in Proportion Layers'!$A$8:$A$320,0))</f>
        <v>222418</v>
      </c>
      <c r="M27" s="148">
        <f t="shared" si="1"/>
        <v>485973</v>
      </c>
      <c r="N27" s="220"/>
      <c r="O27" s="220">
        <f>ROUND(VLOOKUP(A27,'Contribution Allocation_Report'!$A$9:$D$314,4,FALSE)*'OPEB Amounts_Report'!$O$321,0)</f>
        <v>-69533</v>
      </c>
      <c r="P27" s="220">
        <f>INDEX('Change in Proportion Layers'!$AC$8:$AC$320,MATCH('OPEB Amounts_Report'!A27,'Change in Proportion Layers'!$A$8:$A$320,0))</f>
        <v>-28466</v>
      </c>
      <c r="Q27" s="220">
        <f t="shared" si="2"/>
        <v>-97999</v>
      </c>
    </row>
    <row r="28" spans="1:17" ht="12" customHeight="1">
      <c r="A28" s="51">
        <v>2356</v>
      </c>
      <c r="B28" s="55" t="s">
        <v>18</v>
      </c>
      <c r="C28" s="147">
        <f>ROUND(VLOOKUP(A28,'Contribution Allocation_Report'!$A$9:$D$314,4,FALSE)*'OPEB Amounts_Report'!$C$321,0)</f>
        <v>895781</v>
      </c>
      <c r="D28" s="147">
        <f>ROUND(VLOOKUP(A28,'Contribution Allocation_Report'!$A$9:$D$314,4,FALSE)*'OPEB Amounts_Report'!$D$321,0)</f>
        <v>5448</v>
      </c>
      <c r="E28" s="147">
        <f>ROUND(VLOOKUP(A28,'Contribution Allocation_Report'!$A$9:$D$314,4,FALSE)*'OPEB Amounts_Report'!$E$321,0)</f>
        <v>128902</v>
      </c>
      <c r="F28" s="147">
        <f>INDEX('Change in Proportion Layers'!$AE$8:$AE$320,MATCH('OPEB Amounts_Report'!A28,'Change in Proportion Layers'!$A$8:$A$320,0))</f>
        <v>65697</v>
      </c>
      <c r="G28" s="147">
        <f t="shared" si="0"/>
        <v>200047</v>
      </c>
      <c r="H28" s="147"/>
      <c r="I28" s="147">
        <f>ROUND(VLOOKUP(A28,'Contribution Allocation_Report'!$A$9:$D$314,4,FALSE)*'OPEB Amounts_Report'!$I$321,0)</f>
        <v>153918</v>
      </c>
      <c r="J28" s="147">
        <f>ROUND(VLOOKUP(A28,'Contribution Allocation_Report'!$A$9:$D$314,4,FALSE)*'OPEB Amounts_Report'!$J$321,0)</f>
        <v>13552</v>
      </c>
      <c r="K28" s="147">
        <f>ROUND(VLOOKUP(A28,'Contribution Allocation_Report'!$A$9:$D$314,4,FALSE)*$K$321,0)</f>
        <v>413133</v>
      </c>
      <c r="L28" s="147">
        <f>INDEX('Change in Proportion Layers'!$AF$8:$AF$320,MATCH('OPEB Amounts_Report'!A28,'Change in Proportion Layers'!$A$8:$A$320,0))</f>
        <v>71764</v>
      </c>
      <c r="M28" s="147">
        <f t="shared" si="1"/>
        <v>652367</v>
      </c>
      <c r="N28" s="221"/>
      <c r="O28" s="221">
        <f>ROUND(VLOOKUP(A28,'Contribution Allocation_Report'!$A$9:$D$314,4,FALSE)*'OPEB Amounts_Report'!$O$321,0)</f>
        <v>-153179</v>
      </c>
      <c r="P28" s="221">
        <f>INDEX('Change in Proportion Layers'!$AC$8:$AC$320,MATCH('OPEB Amounts_Report'!A28,'Change in Proportion Layers'!$A$8:$A$320,0))</f>
        <v>22988</v>
      </c>
      <c r="Q28" s="221">
        <f t="shared" si="2"/>
        <v>-130191</v>
      </c>
    </row>
    <row r="29" spans="1:17" ht="12" customHeight="1">
      <c r="A29" s="53">
        <v>7335</v>
      </c>
      <c r="B29" s="54" t="s">
        <v>19</v>
      </c>
      <c r="C29" s="148">
        <f>ROUND(VLOOKUP(A29,'Contribution Allocation_Report'!$A$9:$D$314,4,FALSE)*'OPEB Amounts_Report'!$C$321,0)</f>
        <v>213804</v>
      </c>
      <c r="D29" s="148">
        <f>ROUND(VLOOKUP(A29,'Contribution Allocation_Report'!$A$9:$D$314,4,FALSE)*'OPEB Amounts_Report'!$D$321,0)</f>
        <v>1300</v>
      </c>
      <c r="E29" s="148">
        <f>ROUND(VLOOKUP(A29,'Contribution Allocation_Report'!$A$9:$D$314,4,FALSE)*'OPEB Amounts_Report'!$E$321,0)</f>
        <v>30766</v>
      </c>
      <c r="F29" s="148">
        <f>INDEX('Change in Proportion Layers'!$AE$8:$AE$320,MATCH('OPEB Amounts_Report'!A29,'Change in Proportion Layers'!$A$8:$A$320,0))</f>
        <v>73152</v>
      </c>
      <c r="G29" s="148">
        <f t="shared" si="0"/>
        <v>105218</v>
      </c>
      <c r="H29" s="148"/>
      <c r="I29" s="148">
        <f>ROUND(VLOOKUP(A29,'Contribution Allocation_Report'!$A$9:$D$314,4,FALSE)*'OPEB Amounts_Report'!$I$321,0)</f>
        <v>36737</v>
      </c>
      <c r="J29" s="148">
        <f>ROUND(VLOOKUP(A29,'Contribution Allocation_Report'!$A$9:$D$314,4,FALSE)*'OPEB Amounts_Report'!$J$321,0)</f>
        <v>3235</v>
      </c>
      <c r="K29" s="148">
        <f>ROUND(VLOOKUP(A29,'Contribution Allocation_Report'!$A$9:$D$314,4,FALSE)*$K$321,0)</f>
        <v>98606</v>
      </c>
      <c r="L29" s="148">
        <f>INDEX('Change in Proportion Layers'!$AF$8:$AF$320,MATCH('OPEB Amounts_Report'!A29,'Change in Proportion Layers'!$A$8:$A$320,0))</f>
        <v>274751</v>
      </c>
      <c r="M29" s="148">
        <f t="shared" si="1"/>
        <v>413329</v>
      </c>
      <c r="N29" s="220"/>
      <c r="O29" s="220">
        <f>ROUND(VLOOKUP(A29,'Contribution Allocation_Report'!$A$9:$D$314,4,FALSE)*'OPEB Amounts_Report'!$O$321,0)</f>
        <v>-36560</v>
      </c>
      <c r="P29" s="220">
        <f>INDEX('Change in Proportion Layers'!$AC$8:$AC$320,MATCH('OPEB Amounts_Report'!A29,'Change in Proportion Layers'!$A$8:$A$320,0))</f>
        <v>-56387</v>
      </c>
      <c r="Q29" s="220">
        <f t="shared" si="2"/>
        <v>-92947</v>
      </c>
    </row>
    <row r="30" spans="1:17" ht="12" customHeight="1">
      <c r="A30" s="51">
        <v>2434</v>
      </c>
      <c r="B30" s="55" t="s">
        <v>474</v>
      </c>
      <c r="C30" s="147">
        <f>ROUND(VLOOKUP(A30,'Contribution Allocation_Report'!$A$9:$D$314,4,FALSE)*'OPEB Amounts_Report'!$C$321,0)</f>
        <v>362259</v>
      </c>
      <c r="D30" s="147">
        <f>ROUND(VLOOKUP(A30,'Contribution Allocation_Report'!$A$9:$D$314,4,FALSE)*'OPEB Amounts_Report'!$D$321,0)</f>
        <v>2203</v>
      </c>
      <c r="E30" s="147">
        <f>ROUND(VLOOKUP(A30,'Contribution Allocation_Report'!$A$9:$D$314,4,FALSE)*'OPEB Amounts_Report'!$E$321,0)</f>
        <v>52129</v>
      </c>
      <c r="F30" s="147">
        <f>INDEX('Change in Proportion Layers'!$AE$8:$AE$320,MATCH('OPEB Amounts_Report'!A30,'Change in Proportion Layers'!$A$8:$A$320,0))</f>
        <v>155777</v>
      </c>
      <c r="G30" s="147">
        <f t="shared" si="0"/>
        <v>210109</v>
      </c>
      <c r="H30" s="147"/>
      <c r="I30" s="147">
        <f>ROUND(VLOOKUP(A30,'Contribution Allocation_Report'!$A$9:$D$314,4,FALSE)*'OPEB Amounts_Report'!$I$321,0)</f>
        <v>62245</v>
      </c>
      <c r="J30" s="147">
        <f>ROUND(VLOOKUP(A30,'Contribution Allocation_Report'!$A$9:$D$314,4,FALSE)*'OPEB Amounts_Report'!$J$321,0)</f>
        <v>5481</v>
      </c>
      <c r="K30" s="147">
        <f>ROUND(VLOOKUP(A30,'Contribution Allocation_Report'!$A$9:$D$314,4,FALSE)*$K$321,0)</f>
        <v>167073</v>
      </c>
      <c r="L30" s="147">
        <f>INDEX('Change in Proportion Layers'!$AF$8:$AF$320,MATCH('OPEB Amounts_Report'!A30,'Change in Proportion Layers'!$A$8:$A$320,0))</f>
        <v>10837</v>
      </c>
      <c r="M30" s="147">
        <f t="shared" si="1"/>
        <v>245636</v>
      </c>
      <c r="N30" s="221"/>
      <c r="O30" s="221">
        <f>ROUND(VLOOKUP(A30,'Contribution Allocation_Report'!$A$9:$D$314,4,FALSE)*'OPEB Amounts_Report'!$O$321,0)</f>
        <v>-61946</v>
      </c>
      <c r="P30" s="221">
        <f>INDEX('Change in Proportion Layers'!$AC$8:$AC$320,MATCH('OPEB Amounts_Report'!A30,'Change in Proportion Layers'!$A$8:$A$320,0))</f>
        <v>103326</v>
      </c>
      <c r="Q30" s="221">
        <f t="shared" si="2"/>
        <v>41380</v>
      </c>
    </row>
    <row r="31" spans="1:17" ht="12" customHeight="1">
      <c r="A31" s="53">
        <v>2303</v>
      </c>
      <c r="B31" s="54" t="s">
        <v>20</v>
      </c>
      <c r="C31" s="148">
        <f>ROUND(VLOOKUP(A31,'Contribution Allocation_Report'!$A$9:$D$314,4,FALSE)*'OPEB Amounts_Report'!$C$321,0)</f>
        <v>518152</v>
      </c>
      <c r="D31" s="148">
        <f>ROUND(VLOOKUP(A31,'Contribution Allocation_Report'!$A$9:$D$314,4,FALSE)*'OPEB Amounts_Report'!$D$321,0)</f>
        <v>3151</v>
      </c>
      <c r="E31" s="148">
        <f>ROUND(VLOOKUP(A31,'Contribution Allocation_Report'!$A$9:$D$314,4,FALSE)*'OPEB Amounts_Report'!$E$321,0)</f>
        <v>74562</v>
      </c>
      <c r="F31" s="148">
        <f>INDEX('Change in Proportion Layers'!$AE$8:$AE$320,MATCH('OPEB Amounts_Report'!A31,'Change in Proportion Layers'!$A$8:$A$320,0))</f>
        <v>20613</v>
      </c>
      <c r="G31" s="148">
        <f t="shared" si="0"/>
        <v>98326</v>
      </c>
      <c r="H31" s="148"/>
      <c r="I31" s="148">
        <f>ROUND(VLOOKUP(A31,'Contribution Allocation_Report'!$A$9:$D$314,4,FALSE)*'OPEB Amounts_Report'!$I$321,0)</f>
        <v>89032</v>
      </c>
      <c r="J31" s="148">
        <f>ROUND(VLOOKUP(A31,'Contribution Allocation_Report'!$A$9:$D$314,4,FALSE)*'OPEB Amounts_Report'!$J$321,0)</f>
        <v>7839</v>
      </c>
      <c r="K31" s="148">
        <f>ROUND(VLOOKUP(A31,'Contribution Allocation_Report'!$A$9:$D$314,4,FALSE)*$K$321,0)</f>
        <v>238971</v>
      </c>
      <c r="L31" s="148">
        <f>INDEX('Change in Proportion Layers'!$AF$8:$AF$320,MATCH('OPEB Amounts_Report'!A31,'Change in Proportion Layers'!$A$8:$A$320,0))</f>
        <v>259487</v>
      </c>
      <c r="M31" s="148">
        <f t="shared" si="1"/>
        <v>595329</v>
      </c>
      <c r="N31" s="220"/>
      <c r="O31" s="220">
        <f>ROUND(VLOOKUP(A31,'Contribution Allocation_Report'!$A$9:$D$314,4,FALSE)*'OPEB Amounts_Report'!$O$321,0)</f>
        <v>-88604</v>
      </c>
      <c r="P31" s="220">
        <f>INDEX('Change in Proportion Layers'!$AC$8:$AC$320,MATCH('OPEB Amounts_Report'!A31,'Change in Proportion Layers'!$A$8:$A$320,0))</f>
        <v>-95236</v>
      </c>
      <c r="Q31" s="220">
        <f t="shared" si="2"/>
        <v>-183840</v>
      </c>
    </row>
    <row r="32" spans="1:17" ht="12" customHeight="1">
      <c r="A32" s="51">
        <v>20316</v>
      </c>
      <c r="B32" s="55" t="s">
        <v>21</v>
      </c>
      <c r="C32" s="147">
        <f>ROUND(VLOOKUP(A32,'Contribution Allocation_Report'!$A$9:$D$314,4,FALSE)*'OPEB Amounts_Report'!$C$321,0)</f>
        <v>405741</v>
      </c>
      <c r="D32" s="147">
        <f>ROUND(VLOOKUP(A32,'Contribution Allocation_Report'!$A$9:$D$314,4,FALSE)*'OPEB Amounts_Report'!$D$321,0)</f>
        <v>2468</v>
      </c>
      <c r="E32" s="147">
        <f>ROUND(VLOOKUP(A32,'Contribution Allocation_Report'!$A$9:$D$314,4,FALSE)*'OPEB Amounts_Report'!$E$321,0)</f>
        <v>58386</v>
      </c>
      <c r="F32" s="147">
        <f>INDEX('Change in Proportion Layers'!$AE$8:$AE$320,MATCH('OPEB Amounts_Report'!A32,'Change in Proportion Layers'!$A$8:$A$320,0))</f>
        <v>78621</v>
      </c>
      <c r="G32" s="147">
        <f t="shared" si="0"/>
        <v>139475</v>
      </c>
      <c r="H32" s="147"/>
      <c r="I32" s="147">
        <f>ROUND(VLOOKUP(A32,'Contribution Allocation_Report'!$A$9:$D$314,4,FALSE)*'OPEB Amounts_Report'!$I$321,0)</f>
        <v>69716</v>
      </c>
      <c r="J32" s="147">
        <f>ROUND(VLOOKUP(A32,'Contribution Allocation_Report'!$A$9:$D$314,4,FALSE)*'OPEB Amounts_Report'!$J$321,0)</f>
        <v>6138</v>
      </c>
      <c r="K32" s="147">
        <f>ROUND(VLOOKUP(A32,'Contribution Allocation_Report'!$A$9:$D$314,4,FALSE)*$K$321,0)</f>
        <v>187127</v>
      </c>
      <c r="L32" s="147">
        <f>INDEX('Change in Proportion Layers'!$AF$8:$AF$320,MATCH('OPEB Amounts_Report'!A32,'Change in Proportion Layers'!$A$8:$A$320,0))</f>
        <v>26617</v>
      </c>
      <c r="M32" s="147">
        <f t="shared" si="1"/>
        <v>289598</v>
      </c>
      <c r="N32" s="221"/>
      <c r="O32" s="221">
        <f>ROUND(VLOOKUP(A32,'Contribution Allocation_Report'!$A$9:$D$314,4,FALSE)*'OPEB Amounts_Report'!$O$321,0)</f>
        <v>-69382</v>
      </c>
      <c r="P32" s="221">
        <f>INDEX('Change in Proportion Layers'!$AC$8:$AC$320,MATCH('OPEB Amounts_Report'!A32,'Change in Proportion Layers'!$A$8:$A$320,0))</f>
        <v>40955</v>
      </c>
      <c r="Q32" s="221">
        <f t="shared" si="2"/>
        <v>-28427</v>
      </c>
    </row>
    <row r="33" spans="1:17" ht="12" customHeight="1">
      <c r="A33" s="53">
        <v>23121</v>
      </c>
      <c r="B33" s="54" t="s">
        <v>22</v>
      </c>
      <c r="C33" s="148">
        <f>ROUND(VLOOKUP(A33,'Contribution Allocation_Report'!$A$9:$D$314,4,FALSE)*'OPEB Amounts_Report'!$C$321,0)</f>
        <v>522388</v>
      </c>
      <c r="D33" s="148">
        <f>ROUND(VLOOKUP(A33,'Contribution Allocation_Report'!$A$9:$D$314,4,FALSE)*'OPEB Amounts_Report'!$D$321,0)</f>
        <v>3177</v>
      </c>
      <c r="E33" s="148">
        <f>ROUND(VLOOKUP(A33,'Contribution Allocation_Report'!$A$9:$D$314,4,FALSE)*'OPEB Amounts_Report'!$E$321,0)</f>
        <v>75171</v>
      </c>
      <c r="F33" s="148">
        <f>INDEX('Change in Proportion Layers'!$AE$8:$AE$320,MATCH('OPEB Amounts_Report'!A33,'Change in Proportion Layers'!$A$8:$A$320,0))</f>
        <v>99729</v>
      </c>
      <c r="G33" s="148">
        <f t="shared" si="0"/>
        <v>178077</v>
      </c>
      <c r="H33" s="148"/>
      <c r="I33" s="148">
        <f>ROUND(VLOOKUP(A33,'Contribution Allocation_Report'!$A$9:$D$314,4,FALSE)*'OPEB Amounts_Report'!$I$321,0)</f>
        <v>89759</v>
      </c>
      <c r="J33" s="148">
        <f>ROUND(VLOOKUP(A33,'Contribution Allocation_Report'!$A$9:$D$314,4,FALSE)*'OPEB Amounts_Report'!$J$321,0)</f>
        <v>7903</v>
      </c>
      <c r="K33" s="148">
        <f>ROUND(VLOOKUP(A33,'Contribution Allocation_Report'!$A$9:$D$314,4,FALSE)*$K$321,0)</f>
        <v>240925</v>
      </c>
      <c r="L33" s="148">
        <f>INDEX('Change in Proportion Layers'!$AF$8:$AF$320,MATCH('OPEB Amounts_Report'!A33,'Change in Proportion Layers'!$A$8:$A$320,0))</f>
        <v>18495</v>
      </c>
      <c r="M33" s="148">
        <f t="shared" si="1"/>
        <v>357082</v>
      </c>
      <c r="N33" s="220"/>
      <c r="O33" s="220">
        <f>ROUND(VLOOKUP(A33,'Contribution Allocation_Report'!$A$9:$D$314,4,FALSE)*'OPEB Amounts_Report'!$O$321,0)</f>
        <v>-89328</v>
      </c>
      <c r="P33" s="220">
        <f>INDEX('Change in Proportion Layers'!$AC$8:$AC$320,MATCH('OPEB Amounts_Report'!A33,'Change in Proportion Layers'!$A$8:$A$320,0))</f>
        <v>5223</v>
      </c>
      <c r="Q33" s="220">
        <f t="shared" si="2"/>
        <v>-84105</v>
      </c>
    </row>
    <row r="34" spans="1:17" ht="12" customHeight="1">
      <c r="A34" s="51">
        <v>3004</v>
      </c>
      <c r="B34" s="55" t="s">
        <v>23</v>
      </c>
      <c r="C34" s="147">
        <f>ROUND(VLOOKUP(A34,'Contribution Allocation_Report'!$A$9:$D$314,4,FALSE)*'OPEB Amounts_Report'!$C$321,0)</f>
        <v>7120438</v>
      </c>
      <c r="D34" s="147">
        <f>ROUND(VLOOKUP(A34,'Contribution Allocation_Report'!$A$9:$D$314,4,FALSE)*'OPEB Amounts_Report'!$D$321,0)</f>
        <v>43305</v>
      </c>
      <c r="E34" s="147">
        <f>ROUND(VLOOKUP(A34,'Contribution Allocation_Report'!$A$9:$D$314,4,FALSE)*'OPEB Amounts_Report'!$E$321,0)</f>
        <v>1024625</v>
      </c>
      <c r="F34" s="147">
        <f>INDEX('Change in Proportion Layers'!$AE$8:$AE$320,MATCH('OPEB Amounts_Report'!A34,'Change in Proportion Layers'!$A$8:$A$320,0))</f>
        <v>348597</v>
      </c>
      <c r="G34" s="147">
        <f t="shared" si="0"/>
        <v>1416527</v>
      </c>
      <c r="H34" s="147"/>
      <c r="I34" s="147">
        <f>ROUND(VLOOKUP(A34,'Contribution Allocation_Report'!$A$9:$D$314,4,FALSE)*'OPEB Amounts_Report'!$I$321,0)</f>
        <v>1223470</v>
      </c>
      <c r="J34" s="147">
        <f>ROUND(VLOOKUP(A34,'Contribution Allocation_Report'!$A$9:$D$314,4,FALSE)*'OPEB Amounts_Report'!$J$321,0)</f>
        <v>107726</v>
      </c>
      <c r="K34" s="147">
        <f>ROUND(VLOOKUP(A34,'Contribution Allocation_Report'!$A$9:$D$314,4,FALSE)*$K$321,0)</f>
        <v>3283938</v>
      </c>
      <c r="L34" s="147">
        <f>INDEX('Change in Proportion Layers'!$AF$8:$AF$320,MATCH('OPEB Amounts_Report'!A34,'Change in Proportion Layers'!$A$8:$A$320,0))</f>
        <v>989163</v>
      </c>
      <c r="M34" s="147">
        <f t="shared" si="1"/>
        <v>5604297</v>
      </c>
      <c r="N34" s="221"/>
      <c r="O34" s="221">
        <f>ROUND(VLOOKUP(A34,'Contribution Allocation_Report'!$A$9:$D$314,4,FALSE)*'OPEB Amounts_Report'!$O$321,0)</f>
        <v>-1217596</v>
      </c>
      <c r="P34" s="221">
        <f>INDEX('Change in Proportion Layers'!$AC$8:$AC$320,MATCH('OPEB Amounts_Report'!A34,'Change in Proportion Layers'!$A$8:$A$320,0))</f>
        <v>-172810</v>
      </c>
      <c r="Q34" s="221">
        <f t="shared" si="2"/>
        <v>-1390406</v>
      </c>
    </row>
    <row r="35" spans="1:17" ht="12" customHeight="1">
      <c r="A35" s="53">
        <v>16050</v>
      </c>
      <c r="B35" s="54" t="s">
        <v>24</v>
      </c>
      <c r="C35" s="148">
        <f>ROUND(VLOOKUP(A35,'Contribution Allocation_Report'!$A$9:$D$314,4,FALSE)*'OPEB Amounts_Report'!$C$321,0)</f>
        <v>4680795</v>
      </c>
      <c r="D35" s="148">
        <f>ROUND(VLOOKUP(A35,'Contribution Allocation_Report'!$A$9:$D$314,4,FALSE)*'OPEB Amounts_Report'!$D$321,0)</f>
        <v>28467</v>
      </c>
      <c r="E35" s="148">
        <f>ROUND(VLOOKUP(A35,'Contribution Allocation_Report'!$A$9:$D$314,4,FALSE)*'OPEB Amounts_Report'!$E$321,0)</f>
        <v>673562</v>
      </c>
      <c r="F35" s="148">
        <f>INDEX('Change in Proportion Layers'!$AE$8:$AE$320,MATCH('OPEB Amounts_Report'!A35,'Change in Proportion Layers'!$A$8:$A$320,0))</f>
        <v>108470</v>
      </c>
      <c r="G35" s="148">
        <f t="shared" si="0"/>
        <v>810499</v>
      </c>
      <c r="H35" s="148"/>
      <c r="I35" s="148">
        <f>ROUND(VLOOKUP(A35,'Contribution Allocation_Report'!$A$9:$D$314,4,FALSE)*'OPEB Amounts_Report'!$I$321,0)</f>
        <v>804278</v>
      </c>
      <c r="J35" s="148">
        <f>ROUND(VLOOKUP(A35,'Contribution Allocation_Report'!$A$9:$D$314,4,FALSE)*'OPEB Amounts_Report'!$J$321,0)</f>
        <v>70816</v>
      </c>
      <c r="K35" s="148">
        <f>ROUND(VLOOKUP(A35,'Contribution Allocation_Report'!$A$9:$D$314,4,FALSE)*$K$321,0)</f>
        <v>2158777</v>
      </c>
      <c r="L35" s="148">
        <f>INDEX('Change in Proportion Layers'!$AF$8:$AF$320,MATCH('OPEB Amounts_Report'!A35,'Change in Proportion Layers'!$A$8:$A$320,0))</f>
        <v>788982</v>
      </c>
      <c r="M35" s="148">
        <f t="shared" si="1"/>
        <v>3822853</v>
      </c>
      <c r="N35" s="220"/>
      <c r="O35" s="220">
        <f>ROUND(VLOOKUP(A35,'Contribution Allocation_Report'!$A$9:$D$314,4,FALSE)*'OPEB Amounts_Report'!$O$321,0)</f>
        <v>-800417</v>
      </c>
      <c r="P35" s="220">
        <f>INDEX('Change in Proportion Layers'!$AC$8:$AC$320,MATCH('OPEB Amounts_Report'!A35,'Change in Proportion Layers'!$A$8:$A$320,0))</f>
        <v>-119486</v>
      </c>
      <c r="Q35" s="220">
        <f t="shared" si="2"/>
        <v>-919903</v>
      </c>
    </row>
    <row r="36" spans="1:17" ht="12" customHeight="1">
      <c r="A36" s="51">
        <v>14043</v>
      </c>
      <c r="B36" s="55" t="s">
        <v>25</v>
      </c>
      <c r="C36" s="147">
        <f>ROUND(VLOOKUP(A36,'Contribution Allocation_Report'!$A$9:$D$314,4,FALSE)*'OPEB Amounts_Report'!$C$321,0)</f>
        <v>7139940</v>
      </c>
      <c r="D36" s="147">
        <f>ROUND(VLOOKUP(A36,'Contribution Allocation_Report'!$A$9:$D$314,4,FALSE)*'OPEB Amounts_Report'!$D$321,0)</f>
        <v>43423</v>
      </c>
      <c r="E36" s="147">
        <f>ROUND(VLOOKUP(A36,'Contribution Allocation_Report'!$A$9:$D$314,4,FALSE)*'OPEB Amounts_Report'!$E$321,0)</f>
        <v>1027431</v>
      </c>
      <c r="F36" s="147">
        <f>INDEX('Change in Proportion Layers'!$AE$8:$AE$320,MATCH('OPEB Amounts_Report'!A36,'Change in Proportion Layers'!$A$8:$A$320,0))</f>
        <v>524816</v>
      </c>
      <c r="G36" s="147">
        <f t="shared" si="0"/>
        <v>1595670</v>
      </c>
      <c r="H36" s="147"/>
      <c r="I36" s="147">
        <f>ROUND(VLOOKUP(A36,'Contribution Allocation_Report'!$A$9:$D$314,4,FALSE)*'OPEB Amounts_Report'!$I$321,0)</f>
        <v>1226821</v>
      </c>
      <c r="J36" s="147">
        <f>ROUND(VLOOKUP(A36,'Contribution Allocation_Report'!$A$9:$D$314,4,FALSE)*'OPEB Amounts_Report'!$J$321,0)</f>
        <v>108021</v>
      </c>
      <c r="K36" s="147">
        <f>ROUND(VLOOKUP(A36,'Contribution Allocation_Report'!$A$9:$D$314,4,FALSE)*$K$321,0)</f>
        <v>3292933</v>
      </c>
      <c r="L36" s="147">
        <f>INDEX('Change in Proportion Layers'!$AF$8:$AF$320,MATCH('OPEB Amounts_Report'!A36,'Change in Proportion Layers'!$A$8:$A$320,0))</f>
        <v>910125</v>
      </c>
      <c r="M36" s="147">
        <f t="shared" si="1"/>
        <v>5537900</v>
      </c>
      <c r="N36" s="221"/>
      <c r="O36" s="221">
        <f>ROUND(VLOOKUP(A36,'Contribution Allocation_Report'!$A$9:$D$314,4,FALSE)*'OPEB Amounts_Report'!$O$321,0)</f>
        <v>-1220931</v>
      </c>
      <c r="P36" s="221">
        <f>INDEX('Change in Proportion Layers'!$AC$8:$AC$320,MATCH('OPEB Amounts_Report'!A36,'Change in Proportion Layers'!$A$8:$A$320,0))</f>
        <v>-444881</v>
      </c>
      <c r="Q36" s="221">
        <f t="shared" si="2"/>
        <v>-1665812</v>
      </c>
    </row>
    <row r="37" spans="1:17" ht="12" customHeight="1">
      <c r="A37" s="53" t="s">
        <v>506</v>
      </c>
      <c r="B37" s="54" t="s">
        <v>26</v>
      </c>
      <c r="C37" s="148">
        <f>ROUND(VLOOKUP(A37,'Contribution Allocation_Report'!$A$9:$D$314,4,FALSE)*'OPEB Amounts_Report'!$C$321,0)</f>
        <v>48490153</v>
      </c>
      <c r="D37" s="148">
        <f>ROUND(VLOOKUP(A37,'Contribution Allocation_Report'!$A$9:$D$314,4,FALSE)*'OPEB Amounts_Report'!$D$321,0)</f>
        <v>294904</v>
      </c>
      <c r="E37" s="148">
        <f>ROUND(VLOOKUP(A37,'Contribution Allocation_Report'!$A$9:$D$314,4,FALSE)*'OPEB Amounts_Report'!$E$321,0)</f>
        <v>6977692</v>
      </c>
      <c r="F37" s="148">
        <f>INDEX('Change in Proportion Layers'!$AE$8:$AE$320,MATCH('OPEB Amounts_Report'!A37,'Change in Proportion Layers'!$A$8:$A$320,0))</f>
        <v>8359890</v>
      </c>
      <c r="G37" s="148">
        <f t="shared" si="0"/>
        <v>15632486</v>
      </c>
      <c r="H37" s="148"/>
      <c r="I37" s="148">
        <f>ROUND(VLOOKUP(A37,'Contribution Allocation_Report'!$A$9:$D$314,4,FALSE)*'OPEB Amounts_Report'!$I$321,0)</f>
        <v>8331826</v>
      </c>
      <c r="J37" s="148">
        <f>ROUND(VLOOKUP(A37,'Contribution Allocation_Report'!$A$9:$D$314,4,FALSE)*'OPEB Amounts_Report'!$J$321,0)</f>
        <v>733612</v>
      </c>
      <c r="K37" s="148">
        <f>ROUND(VLOOKUP(A37,'Contribution Allocation_Report'!$A$9:$D$314,4,FALSE)*$K$321,0)</f>
        <v>22363605</v>
      </c>
      <c r="L37" s="148">
        <f>INDEX('Change in Proportion Layers'!$AF$8:$AF$320,MATCH('OPEB Amounts_Report'!A37,'Change in Proportion Layers'!$A$8:$A$320,0))</f>
        <v>2608973</v>
      </c>
      <c r="M37" s="148">
        <f t="shared" si="1"/>
        <v>34038016</v>
      </c>
      <c r="N37" s="220"/>
      <c r="O37" s="220">
        <f>ROUND(VLOOKUP(A37,'Contribution Allocation_Report'!$A$9:$D$314,4,FALSE)*'OPEB Amounts_Report'!$O$321,0)</f>
        <v>-8291824</v>
      </c>
      <c r="P37" s="220">
        <f>INDEX('Change in Proportion Layers'!$AC$8:$AC$320,MATCH('OPEB Amounts_Report'!A37,'Change in Proportion Layers'!$A$8:$A$320,0))</f>
        <v>263495</v>
      </c>
      <c r="Q37" s="220">
        <f t="shared" si="2"/>
        <v>-8028329</v>
      </c>
    </row>
    <row r="38" spans="1:17" ht="12" customHeight="1">
      <c r="A38" s="51">
        <v>29086</v>
      </c>
      <c r="B38" s="55" t="s">
        <v>27</v>
      </c>
      <c r="C38" s="147">
        <f>ROUND(VLOOKUP(A38,'Contribution Allocation_Report'!$A$9:$D$314,4,FALSE)*'OPEB Amounts_Report'!$C$321,0)</f>
        <v>7698154</v>
      </c>
      <c r="D38" s="147">
        <f>ROUND(VLOOKUP(A38,'Contribution Allocation_Report'!$A$9:$D$314,4,FALSE)*'OPEB Amounts_Report'!$D$321,0)</f>
        <v>46818</v>
      </c>
      <c r="E38" s="147">
        <f>ROUND(VLOOKUP(A38,'Contribution Allocation_Report'!$A$9:$D$314,4,FALSE)*'OPEB Amounts_Report'!$E$321,0)</f>
        <v>1107758</v>
      </c>
      <c r="F38" s="147">
        <f>INDEX('Change in Proportion Layers'!$AE$8:$AE$320,MATCH('OPEB Amounts_Report'!A38,'Change in Proportion Layers'!$A$8:$A$320,0))</f>
        <v>2186450</v>
      </c>
      <c r="G38" s="147">
        <f t="shared" si="0"/>
        <v>3341026</v>
      </c>
      <c r="H38" s="147"/>
      <c r="I38" s="147">
        <f>ROUND(VLOOKUP(A38,'Contribution Allocation_Report'!$A$9:$D$314,4,FALSE)*'OPEB Amounts_Report'!$I$321,0)</f>
        <v>1322736</v>
      </c>
      <c r="J38" s="147">
        <f>ROUND(VLOOKUP(A38,'Contribution Allocation_Report'!$A$9:$D$314,4,FALSE)*'OPEB Amounts_Report'!$J$321,0)</f>
        <v>116466</v>
      </c>
      <c r="K38" s="147">
        <f>ROUND(VLOOKUP(A38,'Contribution Allocation_Report'!$A$9:$D$314,4,FALSE)*$K$321,0)</f>
        <v>3550380</v>
      </c>
      <c r="L38" s="147">
        <f>INDEX('Change in Proportion Layers'!$AF$8:$AF$320,MATCH('OPEB Amounts_Report'!A38,'Change in Proportion Layers'!$A$8:$A$320,0))</f>
        <v>1415968</v>
      </c>
      <c r="M38" s="147">
        <f t="shared" si="1"/>
        <v>6405550</v>
      </c>
      <c r="N38" s="221"/>
      <c r="O38" s="221">
        <f>ROUND(VLOOKUP(A38,'Contribution Allocation_Report'!$A$9:$D$314,4,FALSE)*'OPEB Amounts_Report'!$O$321,0)</f>
        <v>-1316386</v>
      </c>
      <c r="P38" s="221">
        <f>INDEX('Change in Proportion Layers'!$AC$8:$AC$320,MATCH('OPEB Amounts_Report'!A38,'Change in Proportion Layers'!$A$8:$A$320,0))</f>
        <v>372009</v>
      </c>
      <c r="Q38" s="221">
        <f t="shared" si="2"/>
        <v>-944377</v>
      </c>
    </row>
    <row r="39" spans="1:17" ht="12" customHeight="1">
      <c r="A39" s="53">
        <v>16051</v>
      </c>
      <c r="B39" s="54" t="s">
        <v>28</v>
      </c>
      <c r="C39" s="148">
        <f>ROUND(VLOOKUP(A39,'Contribution Allocation_Report'!$A$9:$D$314,4,FALSE)*'OPEB Amounts_Report'!$C$321,0)</f>
        <v>5584003</v>
      </c>
      <c r="D39" s="148">
        <f>ROUND(VLOOKUP(A39,'Contribution Allocation_Report'!$A$9:$D$314,4,FALSE)*'OPEB Amounts_Report'!$D$321,0)</f>
        <v>33960</v>
      </c>
      <c r="E39" s="148">
        <f>ROUND(VLOOKUP(A39,'Contribution Allocation_Report'!$A$9:$D$314,4,FALSE)*'OPEB Amounts_Report'!$E$321,0)</f>
        <v>803533</v>
      </c>
      <c r="F39" s="148">
        <f>INDEX('Change in Proportion Layers'!$AE$8:$AE$320,MATCH('OPEB Amounts_Report'!A39,'Change in Proportion Layers'!$A$8:$A$320,0))</f>
        <v>347309</v>
      </c>
      <c r="G39" s="148">
        <f t="shared" si="0"/>
        <v>1184802</v>
      </c>
      <c r="H39" s="148"/>
      <c r="I39" s="148">
        <f>ROUND(VLOOKUP(A39,'Contribution Allocation_Report'!$A$9:$D$314,4,FALSE)*'OPEB Amounts_Report'!$I$321,0)</f>
        <v>959472</v>
      </c>
      <c r="J39" s="148">
        <f>ROUND(VLOOKUP(A39,'Contribution Allocation_Report'!$A$9:$D$314,4,FALSE)*'OPEB Amounts_Report'!$J$321,0)</f>
        <v>84481</v>
      </c>
      <c r="K39" s="148">
        <f>ROUND(VLOOKUP(A39,'Contribution Allocation_Report'!$A$9:$D$314,4,FALSE)*$K$321,0)</f>
        <v>2575336</v>
      </c>
      <c r="L39" s="148">
        <f>INDEX('Change in Proportion Layers'!$AF$8:$AF$320,MATCH('OPEB Amounts_Report'!A39,'Change in Proportion Layers'!$A$8:$A$320,0))</f>
        <v>749066</v>
      </c>
      <c r="M39" s="148">
        <f t="shared" si="1"/>
        <v>4368355</v>
      </c>
      <c r="N39" s="220"/>
      <c r="O39" s="220">
        <f>ROUND(VLOOKUP(A39,'Contribution Allocation_Report'!$A$9:$D$314,4,FALSE)*'OPEB Amounts_Report'!$O$321,0)</f>
        <v>-954865</v>
      </c>
      <c r="P39" s="220">
        <f>INDEX('Change in Proportion Layers'!$AC$8:$AC$320,MATCH('OPEB Amounts_Report'!A39,'Change in Proportion Layers'!$A$8:$A$320,0))</f>
        <v>-18646</v>
      </c>
      <c r="Q39" s="220">
        <f t="shared" si="2"/>
        <v>-973511</v>
      </c>
    </row>
    <row r="40" spans="1:17" ht="12" customHeight="1">
      <c r="A40" s="51">
        <v>26077</v>
      </c>
      <c r="B40" s="55" t="s">
        <v>29</v>
      </c>
      <c r="C40" s="147">
        <f>ROUND(VLOOKUP(A40,'Contribution Allocation_Report'!$A$9:$D$314,4,FALSE)*'OPEB Amounts_Report'!$C$321,0)</f>
        <v>1185024</v>
      </c>
      <c r="D40" s="147">
        <f>ROUND(VLOOKUP(A40,'Contribution Allocation_Report'!$A$9:$D$314,4,FALSE)*'OPEB Amounts_Report'!$D$321,0)</f>
        <v>7207</v>
      </c>
      <c r="E40" s="147">
        <f>ROUND(VLOOKUP(A40,'Contribution Allocation_Report'!$A$9:$D$314,4,FALSE)*'OPEB Amounts_Report'!$E$321,0)</f>
        <v>170524</v>
      </c>
      <c r="F40" s="147">
        <f>INDEX('Change in Proportion Layers'!$AE$8:$AE$320,MATCH('OPEB Amounts_Report'!A40,'Change in Proportion Layers'!$A$8:$A$320,0))</f>
        <v>97118</v>
      </c>
      <c r="G40" s="147">
        <f t="shared" si="0"/>
        <v>274849</v>
      </c>
      <c r="H40" s="147"/>
      <c r="I40" s="147">
        <f>ROUND(VLOOKUP(A40,'Contribution Allocation_Report'!$A$9:$D$314,4,FALSE)*'OPEB Amounts_Report'!$I$321,0)</f>
        <v>203617</v>
      </c>
      <c r="J40" s="147">
        <f>ROUND(VLOOKUP(A40,'Contribution Allocation_Report'!$A$9:$D$314,4,FALSE)*'OPEB Amounts_Report'!$J$321,0)</f>
        <v>17928</v>
      </c>
      <c r="K40" s="147">
        <f>ROUND(VLOOKUP(A40,'Contribution Allocation_Report'!$A$9:$D$314,4,FALSE)*$K$321,0)</f>
        <v>546532</v>
      </c>
      <c r="L40" s="147">
        <f>INDEX('Change in Proportion Layers'!$AF$8:$AF$320,MATCH('OPEB Amounts_Report'!A40,'Change in Proportion Layers'!$A$8:$A$320,0))</f>
        <v>14455</v>
      </c>
      <c r="M40" s="147">
        <f t="shared" si="1"/>
        <v>782532</v>
      </c>
      <c r="N40" s="221"/>
      <c r="O40" s="221">
        <f>ROUND(VLOOKUP(A40,'Contribution Allocation_Report'!$A$9:$D$314,4,FALSE)*'OPEB Amounts_Report'!$O$321,0)</f>
        <v>-202639</v>
      </c>
      <c r="P40" s="221">
        <f>INDEX('Change in Proportion Layers'!$AC$8:$AC$320,MATCH('OPEB Amounts_Report'!A40,'Change in Proportion Layers'!$A$8:$A$320,0))</f>
        <v>27232</v>
      </c>
      <c r="Q40" s="221">
        <f t="shared" si="2"/>
        <v>-175407</v>
      </c>
    </row>
    <row r="41" spans="1:17" ht="12" customHeight="1">
      <c r="A41" s="53">
        <v>3005</v>
      </c>
      <c r="B41" s="54" t="s">
        <v>30</v>
      </c>
      <c r="C41" s="148">
        <f>ROUND(VLOOKUP(A41,'Contribution Allocation_Report'!$A$9:$D$314,4,FALSE)*'OPEB Amounts_Report'!$C$321,0)</f>
        <v>13828960</v>
      </c>
      <c r="D41" s="148">
        <f>ROUND(VLOOKUP(A41,'Contribution Allocation_Report'!$A$9:$D$314,4,FALSE)*'OPEB Amounts_Report'!$D$321,0)</f>
        <v>84104</v>
      </c>
      <c r="E41" s="148">
        <f>ROUND(VLOOKUP(A41,'Contribution Allocation_Report'!$A$9:$D$314,4,FALSE)*'OPEB Amounts_Report'!$E$321,0)</f>
        <v>1989976</v>
      </c>
      <c r="F41" s="148">
        <f>INDEX('Change in Proportion Layers'!$AE$8:$AE$320,MATCH('OPEB Amounts_Report'!A41,'Change in Proportion Layers'!$A$8:$A$320,0))</f>
        <v>2434314</v>
      </c>
      <c r="G41" s="148">
        <f t="shared" si="0"/>
        <v>4508394</v>
      </c>
      <c r="H41" s="148"/>
      <c r="I41" s="148">
        <f>ROUND(VLOOKUP(A41,'Contribution Allocation_Report'!$A$9:$D$314,4,FALSE)*'OPEB Amounts_Report'!$I$321,0)</f>
        <v>2376163</v>
      </c>
      <c r="J41" s="148">
        <f>ROUND(VLOOKUP(A41,'Contribution Allocation_Report'!$A$9:$D$314,4,FALSE)*'OPEB Amounts_Report'!$J$321,0)</f>
        <v>209220</v>
      </c>
      <c r="K41" s="148">
        <f>ROUND(VLOOKUP(A41,'Contribution Allocation_Report'!$A$9:$D$314,4,FALSE)*$K$321,0)</f>
        <v>6377901</v>
      </c>
      <c r="L41" s="148">
        <f>INDEX('Change in Proportion Layers'!$AF$8:$AF$320,MATCH('OPEB Amounts_Report'!A41,'Change in Proportion Layers'!$A$8:$A$320,0))</f>
        <v>1711435</v>
      </c>
      <c r="M41" s="148">
        <f t="shared" si="1"/>
        <v>10674719</v>
      </c>
      <c r="N41" s="220"/>
      <c r="O41" s="220">
        <f>ROUND(VLOOKUP(A41,'Contribution Allocation_Report'!$A$9:$D$314,4,FALSE)*'OPEB Amounts_Report'!$O$321,0)</f>
        <v>-2364754</v>
      </c>
      <c r="P41" s="220">
        <f>INDEX('Change in Proportion Layers'!$AC$8:$AC$320,MATCH('OPEB Amounts_Report'!A41,'Change in Proportion Layers'!$A$8:$A$320,0))</f>
        <v>-132142</v>
      </c>
      <c r="Q41" s="220">
        <f t="shared" si="2"/>
        <v>-2496896</v>
      </c>
    </row>
    <row r="42" spans="1:17" ht="12" customHeight="1">
      <c r="A42" s="51">
        <v>26078</v>
      </c>
      <c r="B42" s="55" t="s">
        <v>31</v>
      </c>
      <c r="C42" s="147">
        <f>ROUND(VLOOKUP(A42,'Contribution Allocation_Report'!$A$9:$D$314,4,FALSE)*'OPEB Amounts_Report'!$C$321,0)</f>
        <v>461780</v>
      </c>
      <c r="D42" s="147">
        <f>ROUND(VLOOKUP(A42,'Contribution Allocation_Report'!$A$9:$D$314,4,FALSE)*'OPEB Amounts_Report'!$D$321,0)</f>
        <v>2808</v>
      </c>
      <c r="E42" s="147">
        <f>ROUND(VLOOKUP(A42,'Contribution Allocation_Report'!$A$9:$D$314,4,FALSE)*'OPEB Amounts_Report'!$E$321,0)</f>
        <v>66450</v>
      </c>
      <c r="F42" s="147">
        <f>INDEX('Change in Proportion Layers'!$AE$8:$AE$320,MATCH('OPEB Amounts_Report'!A42,'Change in Proportion Layers'!$A$8:$A$320,0))</f>
        <v>47344</v>
      </c>
      <c r="G42" s="147">
        <f t="shared" si="0"/>
        <v>116602</v>
      </c>
      <c r="H42" s="147"/>
      <c r="I42" s="147">
        <f>ROUND(VLOOKUP(A42,'Contribution Allocation_Report'!$A$9:$D$314,4,FALSE)*'OPEB Amounts_Report'!$I$321,0)</f>
        <v>79345</v>
      </c>
      <c r="J42" s="147">
        <f>ROUND(VLOOKUP(A42,'Contribution Allocation_Report'!$A$9:$D$314,4,FALSE)*'OPEB Amounts_Report'!$J$321,0)</f>
        <v>6986</v>
      </c>
      <c r="K42" s="147">
        <f>ROUND(VLOOKUP(A42,'Contribution Allocation_Report'!$A$9:$D$314,4,FALSE)*$K$321,0)</f>
        <v>212972</v>
      </c>
      <c r="L42" s="147">
        <f>INDEX('Change in Proportion Layers'!$AF$8:$AF$320,MATCH('OPEB Amounts_Report'!A42,'Change in Proportion Layers'!$A$8:$A$320,0))</f>
        <v>81112</v>
      </c>
      <c r="M42" s="147">
        <f t="shared" si="1"/>
        <v>380415</v>
      </c>
      <c r="N42" s="221"/>
      <c r="O42" s="221">
        <f>ROUND(VLOOKUP(A42,'Contribution Allocation_Report'!$A$9:$D$314,4,FALSE)*'OPEB Amounts_Report'!$O$321,0)</f>
        <v>-78964</v>
      </c>
      <c r="P42" s="221">
        <f>INDEX('Change in Proportion Layers'!$AC$8:$AC$320,MATCH('OPEB Amounts_Report'!A42,'Change in Proportion Layers'!$A$8:$A$320,0))</f>
        <v>-508</v>
      </c>
      <c r="Q42" s="221">
        <f t="shared" si="2"/>
        <v>-79472</v>
      </c>
    </row>
    <row r="43" spans="1:17" ht="12" customHeight="1">
      <c r="A43" s="53">
        <v>16053</v>
      </c>
      <c r="B43" s="54" t="s">
        <v>32</v>
      </c>
      <c r="C43" s="148">
        <f>ROUND(VLOOKUP(A43,'Contribution Allocation_Report'!$A$9:$D$314,4,FALSE)*'OPEB Amounts_Report'!$C$321,0)</f>
        <v>13562927</v>
      </c>
      <c r="D43" s="148">
        <f>ROUND(VLOOKUP(A43,'Contribution Allocation_Report'!$A$9:$D$314,4,FALSE)*'OPEB Amounts_Report'!$D$321,0)</f>
        <v>82486</v>
      </c>
      <c r="E43" s="148">
        <f>ROUND(VLOOKUP(A43,'Contribution Allocation_Report'!$A$9:$D$314,4,FALSE)*'OPEB Amounts_Report'!$E$321,0)</f>
        <v>1951694</v>
      </c>
      <c r="F43" s="148">
        <f>INDEX('Change in Proportion Layers'!$AE$8:$AE$320,MATCH('OPEB Amounts_Report'!A43,'Change in Proportion Layers'!$A$8:$A$320,0))</f>
        <v>2298090</v>
      </c>
      <c r="G43" s="148">
        <f t="shared" si="0"/>
        <v>4332270</v>
      </c>
      <c r="H43" s="148"/>
      <c r="I43" s="148">
        <f>ROUND(VLOOKUP(A43,'Contribution Allocation_Report'!$A$9:$D$314,4,FALSE)*'OPEB Amounts_Report'!$I$321,0)</f>
        <v>2330452</v>
      </c>
      <c r="J43" s="148">
        <f>ROUND(VLOOKUP(A43,'Contribution Allocation_Report'!$A$9:$D$314,4,FALSE)*'OPEB Amounts_Report'!$J$321,0)</f>
        <v>205195</v>
      </c>
      <c r="K43" s="148">
        <f>ROUND(VLOOKUP(A43,'Contribution Allocation_Report'!$A$9:$D$314,4,FALSE)*$K$321,0)</f>
        <v>6255207</v>
      </c>
      <c r="L43" s="148">
        <f>INDEX('Change in Proportion Layers'!$AF$8:$AF$320,MATCH('OPEB Amounts_Report'!A43,'Change in Proportion Layers'!$A$8:$A$320,0))</f>
        <v>3363381</v>
      </c>
      <c r="M43" s="148">
        <f t="shared" si="1"/>
        <v>12154235</v>
      </c>
      <c r="N43" s="220"/>
      <c r="O43" s="220">
        <f>ROUND(VLOOKUP(A43,'Contribution Allocation_Report'!$A$9:$D$314,4,FALSE)*'OPEB Amounts_Report'!$O$321,0)</f>
        <v>-2319263</v>
      </c>
      <c r="P43" s="220">
        <f>INDEX('Change in Proportion Layers'!$AC$8:$AC$320,MATCH('OPEB Amounts_Report'!A43,'Change in Proportion Layers'!$A$8:$A$320,0))</f>
        <v>-25112</v>
      </c>
      <c r="Q43" s="220">
        <f t="shared" si="2"/>
        <v>-2344375</v>
      </c>
    </row>
    <row r="44" spans="1:17" ht="12" customHeight="1">
      <c r="A44" s="51">
        <v>2123</v>
      </c>
      <c r="B44" s="55" t="s">
        <v>33</v>
      </c>
      <c r="C44" s="147">
        <f>ROUND(VLOOKUP(A44,'Contribution Allocation_Report'!$A$9:$D$314,4,FALSE)*'OPEB Amounts_Report'!$C$321,0)</f>
        <v>24590892</v>
      </c>
      <c r="D44" s="147">
        <f>ROUND(VLOOKUP(A44,'Contribution Allocation_Report'!$A$9:$D$314,4,FALSE)*'OPEB Amounts_Report'!$D$321,0)</f>
        <v>149555</v>
      </c>
      <c r="E44" s="147">
        <f>ROUND(VLOOKUP(A44,'Contribution Allocation_Report'!$A$9:$D$314,4,FALSE)*'OPEB Amounts_Report'!$E$321,0)</f>
        <v>3538609</v>
      </c>
      <c r="F44" s="147">
        <f>INDEX('Change in Proportion Layers'!$AE$8:$AE$320,MATCH('OPEB Amounts_Report'!A44,'Change in Proportion Layers'!$A$8:$A$320,0))</f>
        <v>3512117</v>
      </c>
      <c r="G44" s="147">
        <f t="shared" si="0"/>
        <v>7200281</v>
      </c>
      <c r="H44" s="147"/>
      <c r="I44" s="147">
        <f>ROUND(VLOOKUP(A44,'Contribution Allocation_Report'!$A$9:$D$314,4,FALSE)*'OPEB Amounts_Report'!$I$321,0)</f>
        <v>4225333</v>
      </c>
      <c r="J44" s="147">
        <f>ROUND(VLOOKUP(A44,'Contribution Allocation_Report'!$A$9:$D$314,4,FALSE)*'OPEB Amounts_Report'!$J$321,0)</f>
        <v>372038</v>
      </c>
      <c r="K44" s="147">
        <f>ROUND(VLOOKUP(A44,'Contribution Allocation_Report'!$A$9:$D$314,4,FALSE)*$K$321,0)</f>
        <v>11341292</v>
      </c>
      <c r="L44" s="147">
        <f>INDEX('Change in Proportion Layers'!$AF$8:$AF$320,MATCH('OPEB Amounts_Report'!A44,'Change in Proportion Layers'!$A$8:$A$320,0))</f>
        <v>5351609</v>
      </c>
      <c r="M44" s="147">
        <f t="shared" si="1"/>
        <v>21290272</v>
      </c>
      <c r="N44" s="221"/>
      <c r="O44" s="221">
        <f>ROUND(VLOOKUP(A44,'Contribution Allocation_Report'!$A$9:$D$314,4,FALSE)*'OPEB Amounts_Report'!$O$321,0)</f>
        <v>-4205047</v>
      </c>
      <c r="P44" s="221">
        <f>INDEX('Change in Proportion Layers'!$AC$8:$AC$320,MATCH('OPEB Amounts_Report'!A44,'Change in Proportion Layers'!$A$8:$A$320,0))</f>
        <v>-73091</v>
      </c>
      <c r="Q44" s="221">
        <f t="shared" si="2"/>
        <v>-4278138</v>
      </c>
    </row>
    <row r="45" spans="1:17" ht="12" customHeight="1">
      <c r="A45" s="53">
        <v>2150</v>
      </c>
      <c r="B45" s="54" t="s">
        <v>34</v>
      </c>
      <c r="C45" s="148">
        <f>ROUND(VLOOKUP(A45,'Contribution Allocation_Report'!$A$9:$D$314,4,FALSE)*'OPEB Amounts_Report'!$C$321,0)</f>
        <v>2161374</v>
      </c>
      <c r="D45" s="148">
        <f>ROUND(VLOOKUP(A45,'Contribution Allocation_Report'!$A$9:$D$314,4,FALSE)*'OPEB Amounts_Report'!$D$321,0)</f>
        <v>13145</v>
      </c>
      <c r="E45" s="148">
        <f>ROUND(VLOOKUP(A45,'Contribution Allocation_Report'!$A$9:$D$314,4,FALSE)*'OPEB Amounts_Report'!$E$321,0)</f>
        <v>311020</v>
      </c>
      <c r="F45" s="148">
        <f>INDEX('Change in Proportion Layers'!$AE$8:$AE$320,MATCH('OPEB Amounts_Report'!A45,'Change in Proportion Layers'!$A$8:$A$320,0))</f>
        <v>1426286</v>
      </c>
      <c r="G45" s="148">
        <f t="shared" si="0"/>
        <v>1750451</v>
      </c>
      <c r="H45" s="148"/>
      <c r="I45" s="148">
        <f>ROUND(VLOOKUP(A45,'Contribution Allocation_Report'!$A$9:$D$314,4,FALSE)*'OPEB Amounts_Report'!$I$321,0)</f>
        <v>371378</v>
      </c>
      <c r="J45" s="148">
        <f>ROUND(VLOOKUP(A45,'Contribution Allocation_Report'!$A$9:$D$314,4,FALSE)*'OPEB Amounts_Report'!$J$321,0)</f>
        <v>32700</v>
      </c>
      <c r="K45" s="148">
        <f>ROUND(VLOOKUP(A45,'Contribution Allocation_Report'!$A$9:$D$314,4,FALSE)*$K$321,0)</f>
        <v>996823</v>
      </c>
      <c r="L45" s="148">
        <f>INDEX('Change in Proportion Layers'!$AF$8:$AF$320,MATCH('OPEB Amounts_Report'!A45,'Change in Proportion Layers'!$A$8:$A$320,0))</f>
        <v>37294</v>
      </c>
      <c r="M45" s="148">
        <f t="shared" si="1"/>
        <v>1438195</v>
      </c>
      <c r="N45" s="220"/>
      <c r="O45" s="220">
        <f>ROUND(VLOOKUP(A45,'Contribution Allocation_Report'!$A$9:$D$314,4,FALSE)*'OPEB Amounts_Report'!$O$321,0)</f>
        <v>-369595</v>
      </c>
      <c r="P45" s="220">
        <f>INDEX('Change in Proportion Layers'!$AC$8:$AC$320,MATCH('OPEB Amounts_Report'!A45,'Change in Proportion Layers'!$A$8:$A$320,0))</f>
        <v>526106</v>
      </c>
      <c r="Q45" s="220">
        <f t="shared" si="2"/>
        <v>156511</v>
      </c>
    </row>
    <row r="46" spans="1:17" ht="12" customHeight="1">
      <c r="A46" s="51">
        <v>2336</v>
      </c>
      <c r="B46" s="55" t="s">
        <v>35</v>
      </c>
      <c r="C46" s="147">
        <f>ROUND(VLOOKUP(A46,'Contribution Allocation_Report'!$A$9:$D$314,4,FALSE)*'OPEB Amounts_Report'!$C$321,0)</f>
        <v>391966</v>
      </c>
      <c r="D46" s="147">
        <f>ROUND(VLOOKUP(A46,'Contribution Allocation_Report'!$A$9:$D$314,4,FALSE)*'OPEB Amounts_Report'!$D$321,0)</f>
        <v>2384</v>
      </c>
      <c r="E46" s="147">
        <f>ROUND(VLOOKUP(A46,'Contribution Allocation_Report'!$A$9:$D$314,4,FALSE)*'OPEB Amounts_Report'!$E$321,0)</f>
        <v>56404</v>
      </c>
      <c r="F46" s="147">
        <f>INDEX('Change in Proportion Layers'!$AE$8:$AE$320,MATCH('OPEB Amounts_Report'!A46,'Change in Proportion Layers'!$A$8:$A$320,0))</f>
        <v>41412</v>
      </c>
      <c r="G46" s="147">
        <f t="shared" si="0"/>
        <v>100200</v>
      </c>
      <c r="H46" s="147"/>
      <c r="I46" s="147">
        <f>ROUND(VLOOKUP(A46,'Contribution Allocation_Report'!$A$9:$D$314,4,FALSE)*'OPEB Amounts_Report'!$I$321,0)</f>
        <v>67350</v>
      </c>
      <c r="J46" s="147">
        <f>ROUND(VLOOKUP(A46,'Contribution Allocation_Report'!$A$9:$D$314,4,FALSE)*'OPEB Amounts_Report'!$J$321,0)</f>
        <v>5930</v>
      </c>
      <c r="K46" s="147">
        <f>ROUND(VLOOKUP(A46,'Contribution Allocation_Report'!$A$9:$D$314,4,FALSE)*$K$321,0)</f>
        <v>180774</v>
      </c>
      <c r="L46" s="147">
        <f>INDEX('Change in Proportion Layers'!$AF$8:$AF$320,MATCH('OPEB Amounts_Report'!A46,'Change in Proportion Layers'!$A$8:$A$320,0))</f>
        <v>23457</v>
      </c>
      <c r="M46" s="147">
        <f t="shared" si="1"/>
        <v>277511</v>
      </c>
      <c r="N46" s="221"/>
      <c r="O46" s="221">
        <f>ROUND(VLOOKUP(A46,'Contribution Allocation_Report'!$A$9:$D$314,4,FALSE)*'OPEB Amounts_Report'!$O$321,0)</f>
        <v>-67026</v>
      </c>
      <c r="P46" s="221">
        <f>INDEX('Change in Proportion Layers'!$AC$8:$AC$320,MATCH('OPEB Amounts_Report'!A46,'Change in Proportion Layers'!$A$8:$A$320,0))</f>
        <v>3611</v>
      </c>
      <c r="Q46" s="221">
        <f t="shared" si="2"/>
        <v>-63415</v>
      </c>
    </row>
    <row r="47" spans="1:17" ht="12" customHeight="1">
      <c r="A47" s="53">
        <v>17126</v>
      </c>
      <c r="B47" s="54" t="s">
        <v>36</v>
      </c>
      <c r="C47" s="148">
        <f>ROUND(VLOOKUP(A47,'Contribution Allocation_Report'!$A$9:$D$314,4,FALSE)*'OPEB Amounts_Report'!$C$321,0)</f>
        <v>1071395</v>
      </c>
      <c r="D47" s="148">
        <f>ROUND(VLOOKUP(A47,'Contribution Allocation_Report'!$A$9:$D$314,4,FALSE)*'OPEB Amounts_Report'!$D$321,0)</f>
        <v>6516</v>
      </c>
      <c r="E47" s="148">
        <f>ROUND(VLOOKUP(A47,'Contribution Allocation_Report'!$A$9:$D$314,4,FALSE)*'OPEB Amounts_Report'!$E$321,0)</f>
        <v>154173</v>
      </c>
      <c r="F47" s="148">
        <f>INDEX('Change in Proportion Layers'!$AE$8:$AE$320,MATCH('OPEB Amounts_Report'!A47,'Change in Proportion Layers'!$A$8:$A$320,0))</f>
        <v>101543</v>
      </c>
      <c r="G47" s="148">
        <f t="shared" si="0"/>
        <v>262232</v>
      </c>
      <c r="H47" s="148"/>
      <c r="I47" s="148">
        <f>ROUND(VLOOKUP(A47,'Contribution Allocation_Report'!$A$9:$D$314,4,FALSE)*'OPEB Amounts_Report'!$I$321,0)</f>
        <v>184093</v>
      </c>
      <c r="J47" s="148">
        <f>ROUND(VLOOKUP(A47,'Contribution Allocation_Report'!$A$9:$D$314,4,FALSE)*'OPEB Amounts_Report'!$J$321,0)</f>
        <v>16209</v>
      </c>
      <c r="K47" s="148">
        <f>ROUND(VLOOKUP(A47,'Contribution Allocation_Report'!$A$9:$D$314,4,FALSE)*$K$321,0)</f>
        <v>494126</v>
      </c>
      <c r="L47" s="148">
        <f>INDEX('Change in Proportion Layers'!$AF$8:$AF$320,MATCH('OPEB Amounts_Report'!A47,'Change in Proportion Layers'!$A$8:$A$320,0))</f>
        <v>123693</v>
      </c>
      <c r="M47" s="148">
        <f t="shared" si="1"/>
        <v>818121</v>
      </c>
      <c r="N47" s="220"/>
      <c r="O47" s="220">
        <f>ROUND(VLOOKUP(A47,'Contribution Allocation_Report'!$A$9:$D$314,4,FALSE)*'OPEB Amounts_Report'!$O$321,0)</f>
        <v>-183209</v>
      </c>
      <c r="P47" s="220">
        <f>INDEX('Change in Proportion Layers'!$AC$8:$AC$320,MATCH('OPEB Amounts_Report'!A47,'Change in Proportion Layers'!$A$8:$A$320,0))</f>
        <v>4412</v>
      </c>
      <c r="Q47" s="220">
        <f t="shared" si="2"/>
        <v>-178797</v>
      </c>
    </row>
    <row r="48" spans="1:17" ht="12" customHeight="1">
      <c r="A48" s="51">
        <v>3030</v>
      </c>
      <c r="B48" s="55" t="s">
        <v>37</v>
      </c>
      <c r="C48" s="147">
        <f>ROUND(VLOOKUP(A48,'Contribution Allocation_Report'!$A$9:$D$314,4,FALSE)*'OPEB Amounts_Report'!$C$321,0)</f>
        <v>2970365</v>
      </c>
      <c r="D48" s="147">
        <f>ROUND(VLOOKUP(A48,'Contribution Allocation_Report'!$A$9:$D$314,4,FALSE)*'OPEB Amounts_Report'!$D$321,0)</f>
        <v>18065</v>
      </c>
      <c r="E48" s="147">
        <f>ROUND(VLOOKUP(A48,'Contribution Allocation_Report'!$A$9:$D$314,4,FALSE)*'OPEB Amounts_Report'!$E$321,0)</f>
        <v>427433</v>
      </c>
      <c r="F48" s="147">
        <f>INDEX('Change in Proportion Layers'!$AE$8:$AE$320,MATCH('OPEB Amounts_Report'!A48,'Change in Proportion Layers'!$A$8:$A$320,0))</f>
        <v>314508</v>
      </c>
      <c r="G48" s="147">
        <f t="shared" si="0"/>
        <v>760006</v>
      </c>
      <c r="H48" s="147"/>
      <c r="I48" s="147">
        <f>ROUND(VLOOKUP(A48,'Contribution Allocation_Report'!$A$9:$D$314,4,FALSE)*'OPEB Amounts_Report'!$I$321,0)</f>
        <v>510383</v>
      </c>
      <c r="J48" s="147">
        <f>ROUND(VLOOKUP(A48,'Contribution Allocation_Report'!$A$9:$D$314,4,FALSE)*'OPEB Amounts_Report'!$J$321,0)</f>
        <v>44939</v>
      </c>
      <c r="K48" s="147">
        <f>ROUND(VLOOKUP(A48,'Contribution Allocation_Report'!$A$9:$D$314,4,FALSE)*$K$321,0)</f>
        <v>1369929</v>
      </c>
      <c r="L48" s="147">
        <f>INDEX('Change in Proportion Layers'!$AF$8:$AF$320,MATCH('OPEB Amounts_Report'!A48,'Change in Proportion Layers'!$A$8:$A$320,0))</f>
        <v>673368</v>
      </c>
      <c r="M48" s="147">
        <f t="shared" si="1"/>
        <v>2598619</v>
      </c>
      <c r="N48" s="221"/>
      <c r="O48" s="221">
        <f>ROUND(VLOOKUP(A48,'Contribution Allocation_Report'!$A$9:$D$314,4,FALSE)*'OPEB Amounts_Report'!$O$321,0)</f>
        <v>-507933</v>
      </c>
      <c r="P48" s="221">
        <f>INDEX('Change in Proportion Layers'!$AC$8:$AC$320,MATCH('OPEB Amounts_Report'!A48,'Change in Proportion Layers'!$A$8:$A$320,0))</f>
        <v>-334888</v>
      </c>
      <c r="Q48" s="221">
        <f t="shared" si="2"/>
        <v>-842821</v>
      </c>
    </row>
    <row r="49" spans="1:17" ht="12" customHeight="1">
      <c r="A49" s="53">
        <v>2353</v>
      </c>
      <c r="B49" s="54" t="s">
        <v>38</v>
      </c>
      <c r="C49" s="148">
        <f>ROUND(VLOOKUP(A49,'Contribution Allocation_Report'!$A$9:$D$314,4,FALSE)*'OPEB Amounts_Report'!$C$321,0)</f>
        <v>1328612</v>
      </c>
      <c r="D49" s="148">
        <f>ROUND(VLOOKUP(A49,'Contribution Allocation_Report'!$A$9:$D$314,4,FALSE)*'OPEB Amounts_Report'!$D$321,0)</f>
        <v>8080</v>
      </c>
      <c r="E49" s="148">
        <f>ROUND(VLOOKUP(A49,'Contribution Allocation_Report'!$A$9:$D$314,4,FALSE)*'OPEB Amounts_Report'!$E$321,0)</f>
        <v>191186</v>
      </c>
      <c r="F49" s="148">
        <f>INDEX('Change in Proportion Layers'!$AE$8:$AE$320,MATCH('OPEB Amounts_Report'!A49,'Change in Proportion Layers'!$A$8:$A$320,0))</f>
        <v>771423</v>
      </c>
      <c r="G49" s="148">
        <f t="shared" si="0"/>
        <v>970689</v>
      </c>
      <c r="H49" s="148"/>
      <c r="I49" s="148">
        <f>ROUND(VLOOKUP(A49,'Contribution Allocation_Report'!$A$9:$D$314,4,FALSE)*'OPEB Amounts_Report'!$I$321,0)</f>
        <v>228289</v>
      </c>
      <c r="J49" s="148">
        <f>ROUND(VLOOKUP(A49,'Contribution Allocation_Report'!$A$9:$D$314,4,FALSE)*'OPEB Amounts_Report'!$J$321,0)</f>
        <v>20101</v>
      </c>
      <c r="K49" s="148">
        <f>ROUND(VLOOKUP(A49,'Contribution Allocation_Report'!$A$9:$D$314,4,FALSE)*$K$321,0)</f>
        <v>612754</v>
      </c>
      <c r="L49" s="148">
        <f>INDEX('Change in Proportion Layers'!$AF$8:$AF$320,MATCH('OPEB Amounts_Report'!A49,'Change in Proportion Layers'!$A$8:$A$320,0))</f>
        <v>70637</v>
      </c>
      <c r="M49" s="148">
        <f t="shared" si="1"/>
        <v>931781</v>
      </c>
      <c r="N49" s="220"/>
      <c r="O49" s="220">
        <f>ROUND(VLOOKUP(A49,'Contribution Allocation_Report'!$A$9:$D$314,4,FALSE)*'OPEB Amounts_Report'!$O$321,0)</f>
        <v>-227193</v>
      </c>
      <c r="P49" s="220">
        <f>INDEX('Change in Proportion Layers'!$AC$8:$AC$320,MATCH('OPEB Amounts_Report'!A49,'Change in Proportion Layers'!$A$8:$A$320,0))</f>
        <v>201668</v>
      </c>
      <c r="Q49" s="220">
        <f t="shared" si="2"/>
        <v>-25525</v>
      </c>
    </row>
    <row r="50" spans="1:17" ht="12" customHeight="1">
      <c r="A50" s="51">
        <v>3040</v>
      </c>
      <c r="B50" s="55" t="s">
        <v>39</v>
      </c>
      <c r="C50" s="147">
        <f>ROUND(VLOOKUP(A50,'Contribution Allocation_Report'!$A$9:$D$314,4,FALSE)*'OPEB Amounts_Report'!$C$321,0)</f>
        <v>1318510</v>
      </c>
      <c r="D50" s="147">
        <f>ROUND(VLOOKUP(A50,'Contribution Allocation_Report'!$A$9:$D$314,4,FALSE)*'OPEB Amounts_Report'!$D$321,0)</f>
        <v>8019</v>
      </c>
      <c r="E50" s="147">
        <f>ROUND(VLOOKUP(A50,'Contribution Allocation_Report'!$A$9:$D$314,4,FALSE)*'OPEB Amounts_Report'!$E$321,0)</f>
        <v>189733</v>
      </c>
      <c r="F50" s="147">
        <f>INDEX('Change in Proportion Layers'!$AE$8:$AE$320,MATCH('OPEB Amounts_Report'!A50,'Change in Proportion Layers'!$A$8:$A$320,0))</f>
        <v>247833</v>
      </c>
      <c r="G50" s="147">
        <f t="shared" si="0"/>
        <v>445585</v>
      </c>
      <c r="H50" s="147"/>
      <c r="I50" s="147">
        <f>ROUND(VLOOKUP(A50,'Contribution Allocation_Report'!$A$9:$D$314,4,FALSE)*'OPEB Amounts_Report'!$I$321,0)</f>
        <v>226553</v>
      </c>
      <c r="J50" s="147">
        <f>ROUND(VLOOKUP(A50,'Contribution Allocation_Report'!$A$9:$D$314,4,FALSE)*'OPEB Amounts_Report'!$J$321,0)</f>
        <v>19948</v>
      </c>
      <c r="K50" s="147">
        <f>ROUND(VLOOKUP(A50,'Contribution Allocation_Report'!$A$9:$D$314,4,FALSE)*$K$321,0)</f>
        <v>608096</v>
      </c>
      <c r="L50" s="147">
        <f>INDEX('Change in Proportion Layers'!$AF$8:$AF$320,MATCH('OPEB Amounts_Report'!A50,'Change in Proportion Layers'!$A$8:$A$320,0))</f>
        <v>50348</v>
      </c>
      <c r="M50" s="147">
        <f t="shared" si="1"/>
        <v>904945</v>
      </c>
      <c r="N50" s="221"/>
      <c r="O50" s="221">
        <f>ROUND(VLOOKUP(A50,'Contribution Allocation_Report'!$A$9:$D$314,4,FALSE)*'OPEB Amounts_Report'!$O$321,0)</f>
        <v>-225465</v>
      </c>
      <c r="P50" s="221">
        <f>INDEX('Change in Proportion Layers'!$AC$8:$AC$320,MATCH('OPEB Amounts_Report'!A50,'Change in Proportion Layers'!$A$8:$A$320,0))</f>
        <v>867</v>
      </c>
      <c r="Q50" s="221">
        <f t="shared" si="2"/>
        <v>-224598</v>
      </c>
    </row>
    <row r="51" spans="1:17" ht="12" customHeight="1">
      <c r="A51" s="53">
        <v>2367</v>
      </c>
      <c r="B51" s="54" t="s">
        <v>40</v>
      </c>
      <c r="C51" s="148">
        <f>ROUND(VLOOKUP(A51,'Contribution Allocation_Report'!$A$9:$D$314,4,FALSE)*'OPEB Amounts_Report'!$C$321,0)</f>
        <v>870953</v>
      </c>
      <c r="D51" s="148">
        <f>ROUND(VLOOKUP(A51,'Contribution Allocation_Report'!$A$9:$D$314,4,FALSE)*'OPEB Amounts_Report'!$D$321,0)</f>
        <v>5297</v>
      </c>
      <c r="E51" s="148">
        <f>ROUND(VLOOKUP(A51,'Contribution Allocation_Report'!$A$9:$D$314,4,FALSE)*'OPEB Amounts_Report'!$E$321,0)</f>
        <v>125329</v>
      </c>
      <c r="F51" s="148">
        <f>INDEX('Change in Proportion Layers'!$AE$8:$AE$320,MATCH('OPEB Amounts_Report'!A51,'Change in Proportion Layers'!$A$8:$A$320,0))</f>
        <v>319257</v>
      </c>
      <c r="G51" s="148">
        <f t="shared" si="0"/>
        <v>449883</v>
      </c>
      <c r="H51" s="148"/>
      <c r="I51" s="148">
        <f>ROUND(VLOOKUP(A51,'Contribution Allocation_Report'!$A$9:$D$314,4,FALSE)*'OPEB Amounts_Report'!$I$321,0)</f>
        <v>149652</v>
      </c>
      <c r="J51" s="148">
        <f>ROUND(VLOOKUP(A51,'Contribution Allocation_Report'!$A$9:$D$314,4,FALSE)*'OPEB Amounts_Report'!$J$321,0)</f>
        <v>13177</v>
      </c>
      <c r="K51" s="148">
        <f>ROUND(VLOOKUP(A51,'Contribution Allocation_Report'!$A$9:$D$314,4,FALSE)*$K$321,0)</f>
        <v>401682</v>
      </c>
      <c r="L51" s="148">
        <f>INDEX('Change in Proportion Layers'!$AF$8:$AF$320,MATCH('OPEB Amounts_Report'!A51,'Change in Proportion Layers'!$A$8:$A$320,0))</f>
        <v>225753</v>
      </c>
      <c r="M51" s="148">
        <f t="shared" si="1"/>
        <v>790264</v>
      </c>
      <c r="N51" s="220"/>
      <c r="O51" s="220">
        <f>ROUND(VLOOKUP(A51,'Contribution Allocation_Report'!$A$9:$D$314,4,FALSE)*'OPEB Amounts_Report'!$O$321,0)</f>
        <v>-148933</v>
      </c>
      <c r="P51" s="220">
        <f>INDEX('Change in Proportion Layers'!$AC$8:$AC$320,MATCH('OPEB Amounts_Report'!A51,'Change in Proportion Layers'!$A$8:$A$320,0))</f>
        <v>76092</v>
      </c>
      <c r="Q51" s="220">
        <f t="shared" si="2"/>
        <v>-72841</v>
      </c>
    </row>
    <row r="52" spans="1:17" ht="12" customHeight="1">
      <c r="A52" s="51">
        <v>9027</v>
      </c>
      <c r="B52" s="55" t="s">
        <v>41</v>
      </c>
      <c r="C52" s="147">
        <f>ROUND(VLOOKUP(A52,'Contribution Allocation_Report'!$A$9:$D$314,4,FALSE)*'OPEB Amounts_Report'!$C$321,0)</f>
        <v>1008239</v>
      </c>
      <c r="D52" s="147">
        <f>ROUND(VLOOKUP(A52,'Contribution Allocation_Report'!$A$9:$D$314,4,FALSE)*'OPEB Amounts_Report'!$D$321,0)</f>
        <v>6132</v>
      </c>
      <c r="E52" s="147">
        <f>ROUND(VLOOKUP(A52,'Contribution Allocation_Report'!$A$9:$D$314,4,FALSE)*'OPEB Amounts_Report'!$E$321,0)</f>
        <v>145085</v>
      </c>
      <c r="F52" s="147">
        <f>INDEX('Change in Proportion Layers'!$AE$8:$AE$320,MATCH('OPEB Amounts_Report'!A52,'Change in Proportion Layers'!$A$8:$A$320,0))</f>
        <v>103946</v>
      </c>
      <c r="G52" s="147">
        <f t="shared" si="0"/>
        <v>255163</v>
      </c>
      <c r="H52" s="147"/>
      <c r="I52" s="147">
        <f>ROUND(VLOOKUP(A52,'Contribution Allocation_Report'!$A$9:$D$314,4,FALSE)*'OPEB Amounts_Report'!$I$321,0)</f>
        <v>173241</v>
      </c>
      <c r="J52" s="147">
        <f>ROUND(VLOOKUP(A52,'Contribution Allocation_Report'!$A$9:$D$314,4,FALSE)*'OPEB Amounts_Report'!$J$321,0)</f>
        <v>15254</v>
      </c>
      <c r="K52" s="147">
        <f>ROUND(VLOOKUP(A52,'Contribution Allocation_Report'!$A$9:$D$314,4,FALSE)*$K$321,0)</f>
        <v>464999</v>
      </c>
      <c r="L52" s="147">
        <f>INDEX('Change in Proportion Layers'!$AF$8:$AF$320,MATCH('OPEB Amounts_Report'!A52,'Change in Proportion Layers'!$A$8:$A$320,0))</f>
        <v>233867</v>
      </c>
      <c r="M52" s="147">
        <f t="shared" si="1"/>
        <v>887361</v>
      </c>
      <c r="N52" s="221"/>
      <c r="O52" s="221">
        <f>ROUND(VLOOKUP(A52,'Contribution Allocation_Report'!$A$9:$D$314,4,FALSE)*'OPEB Amounts_Report'!$O$321,0)</f>
        <v>-172409</v>
      </c>
      <c r="P52" s="221">
        <f>INDEX('Change in Proportion Layers'!$AC$8:$AC$320,MATCH('OPEB Amounts_Report'!A52,'Change in Proportion Layers'!$A$8:$A$320,0))</f>
        <v>-14209</v>
      </c>
      <c r="Q52" s="221">
        <f t="shared" si="2"/>
        <v>-186618</v>
      </c>
    </row>
    <row r="53" spans="1:17" ht="12" customHeight="1">
      <c r="A53" s="53">
        <v>2010</v>
      </c>
      <c r="B53" s="54" t="s">
        <v>42</v>
      </c>
      <c r="C53" s="148">
        <f>ROUND(VLOOKUP(A53,'Contribution Allocation_Report'!$A$9:$D$314,4,FALSE)*'OPEB Amounts_Report'!$C$321,0)</f>
        <v>3874560</v>
      </c>
      <c r="D53" s="148">
        <f>ROUND(VLOOKUP(A53,'Contribution Allocation_Report'!$A$9:$D$314,4,FALSE)*'OPEB Amounts_Report'!$D$321,0)</f>
        <v>23564</v>
      </c>
      <c r="E53" s="148">
        <f>ROUND(VLOOKUP(A53,'Contribution Allocation_Report'!$A$9:$D$314,4,FALSE)*'OPEB Amounts_Report'!$E$321,0)</f>
        <v>557546</v>
      </c>
      <c r="F53" s="148">
        <f>INDEX('Change in Proportion Layers'!$AE$8:$AE$320,MATCH('OPEB Amounts_Report'!A53,'Change in Proportion Layers'!$A$8:$A$320,0))</f>
        <v>232601</v>
      </c>
      <c r="G53" s="148">
        <f t="shared" si="0"/>
        <v>813711</v>
      </c>
      <c r="H53" s="148"/>
      <c r="I53" s="148">
        <f>ROUND(VLOOKUP(A53,'Contribution Allocation_Report'!$A$9:$D$314,4,FALSE)*'OPEB Amounts_Report'!$I$321,0)</f>
        <v>665747</v>
      </c>
      <c r="J53" s="148">
        <f>ROUND(VLOOKUP(A53,'Contribution Allocation_Report'!$A$9:$D$314,4,FALSE)*'OPEB Amounts_Report'!$J$321,0)</f>
        <v>58619</v>
      </c>
      <c r="K53" s="148">
        <f>ROUND(VLOOKUP(A53,'Contribution Allocation_Report'!$A$9:$D$314,4,FALSE)*$K$321,0)</f>
        <v>1786943</v>
      </c>
      <c r="L53" s="148">
        <f>INDEX('Change in Proportion Layers'!$AF$8:$AF$320,MATCH('OPEB Amounts_Report'!A53,'Change in Proportion Layers'!$A$8:$A$320,0))</f>
        <v>651696</v>
      </c>
      <c r="M53" s="148">
        <f t="shared" si="1"/>
        <v>3163005</v>
      </c>
      <c r="N53" s="220"/>
      <c r="O53" s="220">
        <f>ROUND(VLOOKUP(A53,'Contribution Allocation_Report'!$A$9:$D$314,4,FALSE)*'OPEB Amounts_Report'!$O$321,0)</f>
        <v>-662550</v>
      </c>
      <c r="P53" s="220">
        <f>INDEX('Change in Proportion Layers'!$AC$8:$AC$320,MATCH('OPEB Amounts_Report'!A53,'Change in Proportion Layers'!$A$8:$A$320,0))</f>
        <v>-225668</v>
      </c>
      <c r="Q53" s="220">
        <f t="shared" si="2"/>
        <v>-888218</v>
      </c>
    </row>
    <row r="54" spans="1:17" ht="12" customHeight="1">
      <c r="A54" s="51">
        <v>2020</v>
      </c>
      <c r="B54" s="55" t="s">
        <v>43</v>
      </c>
      <c r="C54" s="147">
        <f>ROUND(VLOOKUP(A54,'Contribution Allocation_Report'!$A$9:$D$314,4,FALSE)*'OPEB Amounts_Report'!$C$321,0)</f>
        <v>101914931</v>
      </c>
      <c r="D54" s="147">
        <f>ROUND(VLOOKUP(A54,'Contribution Allocation_Report'!$A$9:$D$314,4,FALSE)*'OPEB Amounts_Report'!$D$321,0)</f>
        <v>619819</v>
      </c>
      <c r="E54" s="147">
        <f>ROUND(VLOOKUP(A54,'Contribution Allocation_Report'!$A$9:$D$314,4,FALSE)*'OPEB Amounts_Report'!$E$321,0)</f>
        <v>14665472</v>
      </c>
      <c r="F54" s="147">
        <f>INDEX('Change in Proportion Layers'!$AE$8:$AE$320,MATCH('OPEB Amounts_Report'!A54,'Change in Proportion Layers'!$A$8:$A$320,0))</f>
        <v>1481794</v>
      </c>
      <c r="G54" s="147">
        <f t="shared" si="0"/>
        <v>16767085</v>
      </c>
      <c r="H54" s="147"/>
      <c r="I54" s="147">
        <f>ROUND(VLOOKUP(A54,'Contribution Allocation_Report'!$A$9:$D$314,4,FALSE)*'OPEB Amounts_Report'!$I$321,0)</f>
        <v>17511545</v>
      </c>
      <c r="J54" s="147">
        <f>ROUND(VLOOKUP(A54,'Contribution Allocation_Report'!$A$9:$D$314,4,FALSE)*'OPEB Amounts_Report'!$J$321,0)</f>
        <v>1541880</v>
      </c>
      <c r="K54" s="147">
        <f>ROUND(VLOOKUP(A54,'Contribution Allocation_Report'!$A$9:$D$314,4,FALSE)*$K$321,0)</f>
        <v>47003054</v>
      </c>
      <c r="L54" s="147">
        <f>INDEX('Change in Proportion Layers'!$AF$8:$AF$320,MATCH('OPEB Amounts_Report'!A54,'Change in Proportion Layers'!$A$8:$A$320,0))</f>
        <v>7621162</v>
      </c>
      <c r="M54" s="147">
        <f t="shared" si="1"/>
        <v>73677641</v>
      </c>
      <c r="N54" s="221"/>
      <c r="O54" s="221">
        <f>ROUND(VLOOKUP(A54,'Contribution Allocation_Report'!$A$9:$D$314,4,FALSE)*'OPEB Amounts_Report'!$O$321,0)</f>
        <v>-17427470</v>
      </c>
      <c r="P54" s="221">
        <f>INDEX('Change in Proportion Layers'!$AC$8:$AC$320,MATCH('OPEB Amounts_Report'!A54,'Change in Proportion Layers'!$A$8:$A$320,0))</f>
        <v>-3451203</v>
      </c>
      <c r="Q54" s="221">
        <f t="shared" si="2"/>
        <v>-20878673</v>
      </c>
    </row>
    <row r="55" spans="1:17" ht="12" customHeight="1">
      <c r="A55" s="53">
        <v>2040</v>
      </c>
      <c r="B55" s="54" t="s">
        <v>44</v>
      </c>
      <c r="C55" s="148">
        <f>ROUND(VLOOKUP(A55,'Contribution Allocation_Report'!$A$9:$D$314,4,FALSE)*'OPEB Amounts_Report'!$C$321,0)</f>
        <v>1361395</v>
      </c>
      <c r="D55" s="148">
        <f>ROUND(VLOOKUP(A55,'Contribution Allocation_Report'!$A$9:$D$314,4,FALSE)*'OPEB Amounts_Report'!$D$321,0)</f>
        <v>8280</v>
      </c>
      <c r="E55" s="148">
        <f>ROUND(VLOOKUP(A55,'Contribution Allocation_Report'!$A$9:$D$314,4,FALSE)*'OPEB Amounts_Report'!$E$321,0)</f>
        <v>195904</v>
      </c>
      <c r="F55" s="148">
        <f>INDEX('Change in Proportion Layers'!$AE$8:$AE$320,MATCH('OPEB Amounts_Report'!A55,'Change in Proportion Layers'!$A$8:$A$320,0))</f>
        <v>83993</v>
      </c>
      <c r="G55" s="148">
        <f t="shared" si="0"/>
        <v>288177</v>
      </c>
      <c r="H55" s="148"/>
      <c r="I55" s="148">
        <f>ROUND(VLOOKUP(A55,'Contribution Allocation_Report'!$A$9:$D$314,4,FALSE)*'OPEB Amounts_Report'!$I$321,0)</f>
        <v>233922</v>
      </c>
      <c r="J55" s="148">
        <f>ROUND(VLOOKUP(A55,'Contribution Allocation_Report'!$A$9:$D$314,4,FALSE)*'OPEB Amounts_Report'!$J$321,0)</f>
        <v>20597</v>
      </c>
      <c r="K55" s="148">
        <f>ROUND(VLOOKUP(A55,'Contribution Allocation_Report'!$A$9:$D$314,4,FALSE)*$K$321,0)</f>
        <v>627874</v>
      </c>
      <c r="L55" s="148">
        <f>INDEX('Change in Proportion Layers'!$AF$8:$AF$320,MATCH('OPEB Amounts_Report'!A55,'Change in Proportion Layers'!$A$8:$A$320,0))</f>
        <v>154633</v>
      </c>
      <c r="M55" s="148">
        <f t="shared" si="1"/>
        <v>1037026</v>
      </c>
      <c r="N55" s="220"/>
      <c r="O55" s="220">
        <f>ROUND(VLOOKUP(A55,'Contribution Allocation_Report'!$A$9:$D$314,4,FALSE)*'OPEB Amounts_Report'!$O$321,0)</f>
        <v>-232799</v>
      </c>
      <c r="P55" s="220">
        <f>INDEX('Change in Proportion Layers'!$AC$8:$AC$320,MATCH('OPEB Amounts_Report'!A55,'Change in Proportion Layers'!$A$8:$A$320,0))</f>
        <v>-50288</v>
      </c>
      <c r="Q55" s="220">
        <f t="shared" si="2"/>
        <v>-283087</v>
      </c>
    </row>
    <row r="56" spans="1:17" ht="12" customHeight="1">
      <c r="A56" s="51">
        <v>2060</v>
      </c>
      <c r="B56" s="55" t="s">
        <v>45</v>
      </c>
      <c r="C56" s="147">
        <f>ROUND(VLOOKUP(A56,'Contribution Allocation_Report'!$A$9:$D$314,4,FALSE)*'OPEB Amounts_Report'!$C$321,0)</f>
        <v>2016707</v>
      </c>
      <c r="D56" s="147">
        <f>ROUND(VLOOKUP(A56,'Contribution Allocation_Report'!$A$9:$D$314,4,FALSE)*'OPEB Amounts_Report'!$D$321,0)</f>
        <v>12265</v>
      </c>
      <c r="E56" s="147">
        <f>ROUND(VLOOKUP(A56,'Contribution Allocation_Report'!$A$9:$D$314,4,FALSE)*'OPEB Amounts_Report'!$E$321,0)</f>
        <v>290202</v>
      </c>
      <c r="F56" s="147">
        <f>INDEX('Change in Proportion Layers'!$AE$8:$AE$320,MATCH('OPEB Amounts_Report'!A56,'Change in Proportion Layers'!$A$8:$A$320,0))</f>
        <v>881664</v>
      </c>
      <c r="G56" s="147">
        <f t="shared" si="0"/>
        <v>1184131</v>
      </c>
      <c r="H56" s="147"/>
      <c r="I56" s="147">
        <f>ROUND(VLOOKUP(A56,'Contribution Allocation_Report'!$A$9:$D$314,4,FALSE)*'OPEB Amounts_Report'!$I$321,0)</f>
        <v>346521</v>
      </c>
      <c r="J56" s="147">
        <f>ROUND(VLOOKUP(A56,'Contribution Allocation_Report'!$A$9:$D$314,4,FALSE)*'OPEB Amounts_Report'!$J$321,0)</f>
        <v>30511</v>
      </c>
      <c r="K56" s="147">
        <f>ROUND(VLOOKUP(A56,'Contribution Allocation_Report'!$A$9:$D$314,4,FALSE)*$K$321,0)</f>
        <v>930103</v>
      </c>
      <c r="L56" s="147">
        <f>INDEX('Change in Proportion Layers'!$AF$8:$AF$320,MATCH('OPEB Amounts_Report'!A56,'Change in Proportion Layers'!$A$8:$A$320,0))</f>
        <v>25059</v>
      </c>
      <c r="M56" s="147">
        <f t="shared" si="1"/>
        <v>1332194</v>
      </c>
      <c r="N56" s="221"/>
      <c r="O56" s="221">
        <f>ROUND(VLOOKUP(A56,'Contribution Allocation_Report'!$A$9:$D$314,4,FALSE)*'OPEB Amounts_Report'!$O$321,0)</f>
        <v>-344857</v>
      </c>
      <c r="P56" s="221">
        <f>INDEX('Change in Proportion Layers'!$AC$8:$AC$320,MATCH('OPEB Amounts_Report'!A56,'Change in Proportion Layers'!$A$8:$A$320,0))</f>
        <v>279495</v>
      </c>
      <c r="Q56" s="221">
        <f t="shared" si="2"/>
        <v>-65362</v>
      </c>
    </row>
    <row r="57" spans="1:17" ht="12" customHeight="1">
      <c r="A57" s="53">
        <v>2090</v>
      </c>
      <c r="B57" s="54" t="s">
        <v>46</v>
      </c>
      <c r="C57" s="148">
        <f>ROUND(VLOOKUP(A57,'Contribution Allocation_Report'!$A$9:$D$314,4,FALSE)*'OPEB Amounts_Report'!$C$321,0)</f>
        <v>1185724</v>
      </c>
      <c r="D57" s="148">
        <f>ROUND(VLOOKUP(A57,'Contribution Allocation_Report'!$A$9:$D$314,4,FALSE)*'OPEB Amounts_Report'!$D$321,0)</f>
        <v>7211</v>
      </c>
      <c r="E57" s="148">
        <f>ROUND(VLOOKUP(A57,'Contribution Allocation_Report'!$A$9:$D$314,4,FALSE)*'OPEB Amounts_Report'!$E$321,0)</f>
        <v>170625</v>
      </c>
      <c r="F57" s="148">
        <f>INDEX('Change in Proportion Layers'!$AE$8:$AE$320,MATCH('OPEB Amounts_Report'!A57,'Change in Proportion Layers'!$A$8:$A$320,0))</f>
        <v>80871</v>
      </c>
      <c r="G57" s="148">
        <f t="shared" si="0"/>
        <v>258707</v>
      </c>
      <c r="H57" s="148"/>
      <c r="I57" s="148">
        <f>ROUND(VLOOKUP(A57,'Contribution Allocation_Report'!$A$9:$D$314,4,FALSE)*'OPEB Amounts_Report'!$I$321,0)</f>
        <v>203737</v>
      </c>
      <c r="J57" s="148">
        <f>ROUND(VLOOKUP(A57,'Contribution Allocation_Report'!$A$9:$D$314,4,FALSE)*'OPEB Amounts_Report'!$J$321,0)</f>
        <v>17939</v>
      </c>
      <c r="K57" s="148">
        <f>ROUND(VLOOKUP(A57,'Contribution Allocation_Report'!$A$9:$D$314,4,FALSE)*$K$321,0)</f>
        <v>546855</v>
      </c>
      <c r="L57" s="148">
        <f>INDEX('Change in Proportion Layers'!$AF$8:$AF$320,MATCH('OPEB Amounts_Report'!A57,'Change in Proportion Layers'!$A$8:$A$320,0))</f>
        <v>64660</v>
      </c>
      <c r="M57" s="148">
        <f t="shared" si="1"/>
        <v>833191</v>
      </c>
      <c r="N57" s="220"/>
      <c r="O57" s="220">
        <f>ROUND(VLOOKUP(A57,'Contribution Allocation_Report'!$A$9:$D$314,4,FALSE)*'OPEB Amounts_Report'!$O$321,0)</f>
        <v>-202759</v>
      </c>
      <c r="P57" s="220">
        <f>INDEX('Change in Proportion Layers'!$AC$8:$AC$320,MATCH('OPEB Amounts_Report'!A57,'Change in Proportion Layers'!$A$8:$A$320,0))</f>
        <v>-21518</v>
      </c>
      <c r="Q57" s="220">
        <f t="shared" si="2"/>
        <v>-224277</v>
      </c>
    </row>
    <row r="58" spans="1:17" ht="12" customHeight="1">
      <c r="A58" s="51">
        <v>2110</v>
      </c>
      <c r="B58" s="52" t="s">
        <v>47</v>
      </c>
      <c r="C58" s="115">
        <f>ROUND(VLOOKUP(A58,'Contribution Allocation_Report'!$A$9:$D$314,4,FALSE)*'OPEB Amounts_Report'!$C$321,0)</f>
        <v>8280346</v>
      </c>
      <c r="D58" s="115">
        <f>ROUND(VLOOKUP(A58,'Contribution Allocation_Report'!$A$9:$D$314,4,FALSE)*'OPEB Amounts_Report'!$D$321,0)</f>
        <v>50359</v>
      </c>
      <c r="E58" s="115">
        <f>ROUND(VLOOKUP(A58,'Contribution Allocation_Report'!$A$9:$D$314,4,FALSE)*'OPEB Amounts_Report'!$E$321,0)</f>
        <v>1191535</v>
      </c>
      <c r="F58" s="115">
        <f>INDEX('Change in Proportion Layers'!$AE$8:$AE$320,MATCH('OPEB Amounts_Report'!A58,'Change in Proportion Layers'!$A$8:$A$320,0))</f>
        <v>278951</v>
      </c>
      <c r="G58" s="115">
        <f t="shared" si="0"/>
        <v>1520845</v>
      </c>
      <c r="H58" s="115"/>
      <c r="I58" s="115">
        <f>ROUND(VLOOKUP(A58,'Contribution Allocation_Report'!$A$9:$D$314,4,FALSE)*'OPEB Amounts_Report'!$I$321,0)</f>
        <v>1422771</v>
      </c>
      <c r="J58" s="115">
        <f>ROUND(VLOOKUP(A58,'Contribution Allocation_Report'!$A$9:$D$314,4,FALSE)*'OPEB Amounts_Report'!$J$321,0)</f>
        <v>125274</v>
      </c>
      <c r="K58" s="115">
        <f>ROUND(VLOOKUP(A58,'Contribution Allocation_Report'!$A$9:$D$314,4,FALSE)*$K$321,0)</f>
        <v>3818886</v>
      </c>
      <c r="L58" s="117">
        <f>INDEX('Change in Proportion Layers'!$AF$8:$AF$320,MATCH('OPEB Amounts_Report'!A58,'Change in Proportion Layers'!$A$8:$A$320,0))</f>
        <v>1915134</v>
      </c>
      <c r="M58" s="115">
        <f t="shared" si="1"/>
        <v>7282065</v>
      </c>
      <c r="N58" s="116"/>
      <c r="O58" s="116">
        <f>ROUND(VLOOKUP(A58,'Contribution Allocation_Report'!$A$9:$D$314,4,FALSE)*'OPEB Amounts_Report'!$O$321,0)</f>
        <v>-1415940</v>
      </c>
      <c r="P58" s="116">
        <f>INDEX('Change in Proportion Layers'!$AC$8:$AC$320,MATCH('OPEB Amounts_Report'!A58,'Change in Proportion Layers'!$A$8:$A$320,0))</f>
        <v>-781132</v>
      </c>
      <c r="Q58" s="116">
        <f t="shared" si="2"/>
        <v>-2197072</v>
      </c>
    </row>
    <row r="59" spans="1:17" ht="12" customHeight="1">
      <c r="A59" s="53">
        <v>2180</v>
      </c>
      <c r="B59" s="54" t="s">
        <v>48</v>
      </c>
      <c r="C59" s="148">
        <f>ROUND(VLOOKUP(A59,'Contribution Allocation_Report'!$A$9:$D$314,4,FALSE)*'OPEB Amounts_Report'!$C$321,0)</f>
        <v>3989474</v>
      </c>
      <c r="D59" s="148">
        <f>ROUND(VLOOKUP(A59,'Contribution Allocation_Report'!$A$9:$D$314,4,FALSE)*'OPEB Amounts_Report'!$D$321,0)</f>
        <v>24263</v>
      </c>
      <c r="E59" s="148">
        <f>ROUND(VLOOKUP(A59,'Contribution Allocation_Report'!$A$9:$D$314,4,FALSE)*'OPEB Amounts_Report'!$E$321,0)</f>
        <v>574082</v>
      </c>
      <c r="F59" s="148">
        <f>INDEX('Change in Proportion Layers'!$AE$8:$AE$320,MATCH('OPEB Amounts_Report'!A59,'Change in Proportion Layers'!$A$8:$A$320,0))</f>
        <v>31192</v>
      </c>
      <c r="G59" s="148">
        <f t="shared" si="0"/>
        <v>629537</v>
      </c>
      <c r="H59" s="148"/>
      <c r="I59" s="148">
        <f>ROUND(VLOOKUP(A59,'Contribution Allocation_Report'!$A$9:$D$314,4,FALSE)*'OPEB Amounts_Report'!$I$321,0)</f>
        <v>685492</v>
      </c>
      <c r="J59" s="148">
        <f>ROUND(VLOOKUP(A59,'Contribution Allocation_Report'!$A$9:$D$314,4,FALSE)*'OPEB Amounts_Report'!$J$321,0)</f>
        <v>60357</v>
      </c>
      <c r="K59" s="148">
        <f>ROUND(VLOOKUP(A59,'Contribution Allocation_Report'!$A$9:$D$314,4,FALSE)*$K$321,0)</f>
        <v>1839941</v>
      </c>
      <c r="L59" s="148">
        <f>INDEX('Change in Proportion Layers'!$AF$8:$AF$320,MATCH('OPEB Amounts_Report'!A59,'Change in Proportion Layers'!$A$8:$A$320,0))</f>
        <v>624804</v>
      </c>
      <c r="M59" s="148">
        <f t="shared" si="1"/>
        <v>3210594</v>
      </c>
      <c r="N59" s="220"/>
      <c r="O59" s="220">
        <f>ROUND(VLOOKUP(A59,'Contribution Allocation_Report'!$A$9:$D$314,4,FALSE)*'OPEB Amounts_Report'!$O$321,0)</f>
        <v>-682201</v>
      </c>
      <c r="P59" s="220">
        <f>INDEX('Change in Proportion Layers'!$AC$8:$AC$320,MATCH('OPEB Amounts_Report'!A59,'Change in Proportion Layers'!$A$8:$A$320,0))</f>
        <v>-334260</v>
      </c>
      <c r="Q59" s="220">
        <f t="shared" si="2"/>
        <v>-1016461</v>
      </c>
    </row>
    <row r="60" spans="1:17" ht="12" customHeight="1">
      <c r="A60" s="51">
        <v>2210</v>
      </c>
      <c r="B60" s="55" t="s">
        <v>49</v>
      </c>
      <c r="C60" s="147">
        <f>ROUND(VLOOKUP(A60,'Contribution Allocation_Report'!$A$9:$D$314,4,FALSE)*'OPEB Amounts_Report'!$C$321,0)</f>
        <v>1910540</v>
      </c>
      <c r="D60" s="147">
        <f>ROUND(VLOOKUP(A60,'Contribution Allocation_Report'!$A$9:$D$314,4,FALSE)*'OPEB Amounts_Report'!$D$321,0)</f>
        <v>11619</v>
      </c>
      <c r="E60" s="147">
        <f>ROUND(VLOOKUP(A60,'Contribution Allocation_Report'!$A$9:$D$314,4,FALSE)*'OPEB Amounts_Report'!$E$321,0)</f>
        <v>274925</v>
      </c>
      <c r="F60" s="147">
        <f>INDEX('Change in Proportion Layers'!$AE$8:$AE$320,MATCH('OPEB Amounts_Report'!A60,'Change in Proportion Layers'!$A$8:$A$320,0))</f>
        <v>242185</v>
      </c>
      <c r="G60" s="147">
        <f t="shared" si="0"/>
        <v>528729</v>
      </c>
      <c r="H60" s="147"/>
      <c r="I60" s="147">
        <f>ROUND(VLOOKUP(A60,'Contribution Allocation_Report'!$A$9:$D$314,4,FALSE)*'OPEB Amounts_Report'!$I$321,0)</f>
        <v>328279</v>
      </c>
      <c r="J60" s="147">
        <f>ROUND(VLOOKUP(A60,'Contribution Allocation_Report'!$A$9:$D$314,4,FALSE)*'OPEB Amounts_Report'!$J$321,0)</f>
        <v>28905</v>
      </c>
      <c r="K60" s="147">
        <f>ROUND(VLOOKUP(A60,'Contribution Allocation_Report'!$A$9:$D$314,4,FALSE)*$K$321,0)</f>
        <v>881139</v>
      </c>
      <c r="L60" s="147">
        <f>INDEX('Change in Proportion Layers'!$AF$8:$AF$320,MATCH('OPEB Amounts_Report'!A60,'Change in Proportion Layers'!$A$8:$A$320,0))</f>
        <v>414085</v>
      </c>
      <c r="M60" s="147">
        <f t="shared" si="1"/>
        <v>1652408</v>
      </c>
      <c r="N60" s="221"/>
      <c r="O60" s="221">
        <f>ROUND(VLOOKUP(A60,'Contribution Allocation_Report'!$A$9:$D$314,4,FALSE)*'OPEB Amounts_Report'!$O$321,0)</f>
        <v>-326703</v>
      </c>
      <c r="P60" s="221">
        <f>INDEX('Change in Proportion Layers'!$AC$8:$AC$320,MATCH('OPEB Amounts_Report'!A60,'Change in Proportion Layers'!$A$8:$A$320,0))</f>
        <v>-183456</v>
      </c>
      <c r="Q60" s="221">
        <f t="shared" si="2"/>
        <v>-510159</v>
      </c>
    </row>
    <row r="61" spans="1:17" ht="12" customHeight="1">
      <c r="A61" s="53">
        <v>2290</v>
      </c>
      <c r="B61" s="54" t="s">
        <v>50</v>
      </c>
      <c r="C61" s="148">
        <f>ROUND(VLOOKUP(A61,'Contribution Allocation_Report'!$A$9:$D$314,4,FALSE)*'OPEB Amounts_Report'!$C$321,0)</f>
        <v>2058720</v>
      </c>
      <c r="D61" s="148">
        <f>ROUND(VLOOKUP(A61,'Contribution Allocation_Report'!$A$9:$D$314,4,FALSE)*'OPEB Amounts_Report'!$D$321,0)</f>
        <v>12521</v>
      </c>
      <c r="E61" s="148">
        <f>ROUND(VLOOKUP(A61,'Contribution Allocation_Report'!$A$9:$D$314,4,FALSE)*'OPEB Amounts_Report'!$E$321,0)</f>
        <v>296248</v>
      </c>
      <c r="F61" s="148">
        <f>INDEX('Change in Proportion Layers'!$AE$8:$AE$320,MATCH('OPEB Amounts_Report'!A61,'Change in Proportion Layers'!$A$8:$A$320,0))</f>
        <v>171078</v>
      </c>
      <c r="G61" s="148">
        <f t="shared" si="0"/>
        <v>479847</v>
      </c>
      <c r="H61" s="148"/>
      <c r="I61" s="148">
        <f>ROUND(VLOOKUP(A61,'Contribution Allocation_Report'!$A$9:$D$314,4,FALSE)*'OPEB Amounts_Report'!$I$321,0)</f>
        <v>353740</v>
      </c>
      <c r="J61" s="148">
        <f>ROUND(VLOOKUP(A61,'Contribution Allocation_Report'!$A$9:$D$314,4,FALSE)*'OPEB Amounts_Report'!$J$321,0)</f>
        <v>31147</v>
      </c>
      <c r="K61" s="148">
        <f>ROUND(VLOOKUP(A61,'Contribution Allocation_Report'!$A$9:$D$314,4,FALSE)*$K$321,0)</f>
        <v>949479</v>
      </c>
      <c r="L61" s="148">
        <f>INDEX('Change in Proportion Layers'!$AF$8:$AF$320,MATCH('OPEB Amounts_Report'!A61,'Change in Proportion Layers'!$A$8:$A$320,0))</f>
        <v>153539</v>
      </c>
      <c r="M61" s="148">
        <f t="shared" si="1"/>
        <v>1487905</v>
      </c>
      <c r="N61" s="220"/>
      <c r="O61" s="220">
        <f>ROUND(VLOOKUP(A61,'Contribution Allocation_Report'!$A$9:$D$314,4,FALSE)*'OPEB Amounts_Report'!$O$321,0)</f>
        <v>-352041</v>
      </c>
      <c r="P61" s="220">
        <f>INDEX('Change in Proportion Layers'!$AC$8:$AC$320,MATCH('OPEB Amounts_Report'!A61,'Change in Proportion Layers'!$A$8:$A$320,0))</f>
        <v>-738</v>
      </c>
      <c r="Q61" s="220">
        <f t="shared" si="2"/>
        <v>-352779</v>
      </c>
    </row>
    <row r="62" spans="1:17" ht="12" customHeight="1">
      <c r="A62" s="51">
        <v>2310</v>
      </c>
      <c r="B62" s="55" t="s">
        <v>51</v>
      </c>
      <c r="C62" s="147">
        <f>ROUND(VLOOKUP(A62,'Contribution Allocation_Report'!$A$9:$D$314,4,FALSE)*'OPEB Amounts_Report'!$C$321,0)</f>
        <v>13095810</v>
      </c>
      <c r="D62" s="147">
        <f>ROUND(VLOOKUP(A62,'Contribution Allocation_Report'!$A$9:$D$314,4,FALSE)*'OPEB Amounts_Report'!$D$321,0)</f>
        <v>79645</v>
      </c>
      <c r="E62" s="147">
        <f>ROUND(VLOOKUP(A62,'Contribution Allocation_Report'!$A$9:$D$314,4,FALSE)*'OPEB Amounts_Report'!$E$321,0)</f>
        <v>1884476</v>
      </c>
      <c r="F62" s="147">
        <f>INDEX('Change in Proportion Layers'!$AE$8:$AE$320,MATCH('OPEB Amounts_Report'!A62,'Change in Proportion Layers'!$A$8:$A$320,0))</f>
        <v>901661</v>
      </c>
      <c r="G62" s="147">
        <f t="shared" si="0"/>
        <v>2865782</v>
      </c>
      <c r="H62" s="147"/>
      <c r="I62" s="147">
        <f>ROUND(VLOOKUP(A62,'Contribution Allocation_Report'!$A$9:$D$314,4,FALSE)*'OPEB Amounts_Report'!$I$321,0)</f>
        <v>2250189</v>
      </c>
      <c r="J62" s="147">
        <f>ROUND(VLOOKUP(A62,'Contribution Allocation_Report'!$A$9:$D$314,4,FALSE)*'OPEB Amounts_Report'!$J$321,0)</f>
        <v>198128</v>
      </c>
      <c r="K62" s="147">
        <f>ROUND(VLOOKUP(A62,'Contribution Allocation_Report'!$A$9:$D$314,4,FALSE)*$K$321,0)</f>
        <v>6039773</v>
      </c>
      <c r="L62" s="147">
        <f>INDEX('Change in Proportion Layers'!$AF$8:$AF$320,MATCH('OPEB Amounts_Report'!A62,'Change in Proportion Layers'!$A$8:$A$320,0))</f>
        <v>3076763</v>
      </c>
      <c r="M62" s="147">
        <f t="shared" si="1"/>
        <v>11564853</v>
      </c>
      <c r="N62" s="221"/>
      <c r="O62" s="221">
        <f>ROUND(VLOOKUP(A62,'Contribution Allocation_Report'!$A$9:$D$314,4,FALSE)*'OPEB Amounts_Report'!$O$321,0)</f>
        <v>-2239386</v>
      </c>
      <c r="P62" s="221">
        <f>INDEX('Change in Proportion Layers'!$AC$8:$AC$320,MATCH('OPEB Amounts_Report'!A62,'Change in Proportion Layers'!$A$8:$A$320,0))</f>
        <v>-1856793</v>
      </c>
      <c r="Q62" s="221">
        <f t="shared" si="2"/>
        <v>-4096179</v>
      </c>
    </row>
    <row r="63" spans="1:17" ht="12" customHeight="1">
      <c r="A63" s="53">
        <v>2330</v>
      </c>
      <c r="B63" s="54" t="s">
        <v>52</v>
      </c>
      <c r="C63" s="148">
        <f>ROUND(VLOOKUP(A63,'Contribution Allocation_Report'!$A$9:$D$314,4,FALSE)*'OPEB Amounts_Report'!$C$321,0)</f>
        <v>5083367</v>
      </c>
      <c r="D63" s="148">
        <f>ROUND(VLOOKUP(A63,'Contribution Allocation_Report'!$A$9:$D$314,4,FALSE)*'OPEB Amounts_Report'!$D$321,0)</f>
        <v>30916</v>
      </c>
      <c r="E63" s="148">
        <f>ROUND(VLOOKUP(A63,'Contribution Allocation_Report'!$A$9:$D$314,4,FALSE)*'OPEB Amounts_Report'!$E$321,0)</f>
        <v>731492</v>
      </c>
      <c r="F63" s="148">
        <f>INDEX('Change in Proportion Layers'!$AE$8:$AE$320,MATCH('OPEB Amounts_Report'!A63,'Change in Proportion Layers'!$A$8:$A$320,0))</f>
        <v>1279807</v>
      </c>
      <c r="G63" s="148">
        <f t="shared" si="0"/>
        <v>2042215</v>
      </c>
      <c r="H63" s="148"/>
      <c r="I63" s="148">
        <f>ROUND(VLOOKUP(A63,'Contribution Allocation_Report'!$A$9:$D$314,4,FALSE)*'OPEB Amounts_Report'!$I$321,0)</f>
        <v>873450</v>
      </c>
      <c r="J63" s="148">
        <f>ROUND(VLOOKUP(A63,'Contribution Allocation_Report'!$A$9:$D$314,4,FALSE)*'OPEB Amounts_Report'!$J$321,0)</f>
        <v>76907</v>
      </c>
      <c r="K63" s="148">
        <f>ROUND(VLOOKUP(A63,'Contribution Allocation_Report'!$A$9:$D$314,4,FALSE)*$K$321,0)</f>
        <v>2344443</v>
      </c>
      <c r="L63" s="148">
        <f>INDEX('Change in Proportion Layers'!$AF$8:$AF$320,MATCH('OPEB Amounts_Report'!A63,'Change in Proportion Layers'!$A$8:$A$320,0))</f>
        <v>1133945</v>
      </c>
      <c r="M63" s="148">
        <f t="shared" si="1"/>
        <v>4428745</v>
      </c>
      <c r="N63" s="220"/>
      <c r="O63" s="220">
        <f>ROUND(VLOOKUP(A63,'Contribution Allocation_Report'!$A$9:$D$314,4,FALSE)*'OPEB Amounts_Report'!$O$321,0)</f>
        <v>-869257</v>
      </c>
      <c r="P63" s="220">
        <f>INDEX('Change in Proportion Layers'!$AC$8:$AC$320,MATCH('OPEB Amounts_Report'!A63,'Change in Proportion Layers'!$A$8:$A$320,0))</f>
        <v>-217732</v>
      </c>
      <c r="Q63" s="220">
        <f t="shared" si="2"/>
        <v>-1086989</v>
      </c>
    </row>
    <row r="64" spans="1:17" ht="12" customHeight="1">
      <c r="A64" s="51">
        <v>2380</v>
      </c>
      <c r="B64" s="55" t="s">
        <v>53</v>
      </c>
      <c r="C64" s="147">
        <f>ROUND(VLOOKUP(A64,'Contribution Allocation_Report'!$A$9:$D$314,4,FALSE)*'OPEB Amounts_Report'!$C$321,0)</f>
        <v>805018</v>
      </c>
      <c r="D64" s="147">
        <f>ROUND(VLOOKUP(A64,'Contribution Allocation_Report'!$A$9:$D$314,4,FALSE)*'OPEB Amounts_Report'!$D$321,0)</f>
        <v>4896</v>
      </c>
      <c r="E64" s="147">
        <f>ROUND(VLOOKUP(A64,'Contribution Allocation_Report'!$A$9:$D$314,4,FALSE)*'OPEB Amounts_Report'!$E$321,0)</f>
        <v>115841</v>
      </c>
      <c r="F64" s="147">
        <f>INDEX('Change in Proportion Layers'!$AE$8:$AE$320,MATCH('OPEB Amounts_Report'!A64,'Change in Proportion Layers'!$A$8:$A$320,0))</f>
        <v>247308</v>
      </c>
      <c r="G64" s="147">
        <f t="shared" si="0"/>
        <v>368045</v>
      </c>
      <c r="H64" s="147"/>
      <c r="I64" s="147">
        <f>ROUND(VLOOKUP(A64,'Contribution Allocation_Report'!$A$9:$D$314,4,FALSE)*'OPEB Amounts_Report'!$I$321,0)</f>
        <v>138322</v>
      </c>
      <c r="J64" s="147">
        <f>ROUND(VLOOKUP(A64,'Contribution Allocation_Report'!$A$9:$D$314,4,FALSE)*'OPEB Amounts_Report'!$J$321,0)</f>
        <v>12179</v>
      </c>
      <c r="K64" s="147">
        <f>ROUND(VLOOKUP(A64,'Contribution Allocation_Report'!$A$9:$D$314,4,FALSE)*$K$321,0)</f>
        <v>371274</v>
      </c>
      <c r="L64" s="147">
        <f>INDEX('Change in Proportion Layers'!$AF$8:$AF$320,MATCH('OPEB Amounts_Report'!A64,'Change in Proportion Layers'!$A$8:$A$320,0))</f>
        <v>118433</v>
      </c>
      <c r="M64" s="147">
        <f t="shared" si="1"/>
        <v>640208</v>
      </c>
      <c r="N64" s="221"/>
      <c r="O64" s="221">
        <f>ROUND(VLOOKUP(A64,'Contribution Allocation_Report'!$A$9:$D$314,4,FALSE)*'OPEB Amounts_Report'!$O$321,0)</f>
        <v>-137658</v>
      </c>
      <c r="P64" s="221">
        <f>INDEX('Change in Proportion Layers'!$AC$8:$AC$320,MATCH('OPEB Amounts_Report'!A64,'Change in Proportion Layers'!$A$8:$A$320,0))</f>
        <v>162246</v>
      </c>
      <c r="Q64" s="221">
        <f t="shared" si="2"/>
        <v>24588</v>
      </c>
    </row>
    <row r="65" spans="1:17" ht="12" customHeight="1">
      <c r="A65" s="53">
        <v>2400</v>
      </c>
      <c r="B65" s="54" t="s">
        <v>54</v>
      </c>
      <c r="C65" s="148">
        <f>ROUND(VLOOKUP(A65,'Contribution Allocation_Report'!$A$9:$D$314,4,FALSE)*'OPEB Amounts_Report'!$C$321,0)</f>
        <v>24727386</v>
      </c>
      <c r="D65" s="148">
        <f>ROUND(VLOOKUP(A65,'Contribution Allocation_Report'!$A$9:$D$314,4,FALSE)*'OPEB Amounts_Report'!$D$321,0)</f>
        <v>150385</v>
      </c>
      <c r="E65" s="148">
        <f>ROUND(VLOOKUP(A65,'Contribution Allocation_Report'!$A$9:$D$314,4,FALSE)*'OPEB Amounts_Report'!$E$321,0)</f>
        <v>3558250</v>
      </c>
      <c r="F65" s="148">
        <f>INDEX('Change in Proportion Layers'!$AE$8:$AE$320,MATCH('OPEB Amounts_Report'!A65,'Change in Proportion Layers'!$A$8:$A$320,0))</f>
        <v>2077332</v>
      </c>
      <c r="G65" s="148">
        <f t="shared" si="0"/>
        <v>5785967</v>
      </c>
      <c r="H65" s="148"/>
      <c r="I65" s="148">
        <f>ROUND(VLOOKUP(A65,'Contribution Allocation_Report'!$A$9:$D$314,4,FALSE)*'OPEB Amounts_Report'!$I$321,0)</f>
        <v>4248786</v>
      </c>
      <c r="J65" s="148">
        <f>ROUND(VLOOKUP(A65,'Contribution Allocation_Report'!$A$9:$D$314,4,FALSE)*'OPEB Amounts_Report'!$J$321,0)</f>
        <v>374103</v>
      </c>
      <c r="K65" s="148">
        <f>ROUND(VLOOKUP(A65,'Contribution Allocation_Report'!$A$9:$D$314,4,FALSE)*$K$321,0)</f>
        <v>11404243</v>
      </c>
      <c r="L65" s="148">
        <f>INDEX('Change in Proportion Layers'!$AF$8:$AF$320,MATCH('OPEB Amounts_Report'!A65,'Change in Proportion Layers'!$A$8:$A$320,0))</f>
        <v>2109098</v>
      </c>
      <c r="M65" s="148">
        <f t="shared" si="1"/>
        <v>18136230</v>
      </c>
      <c r="N65" s="220"/>
      <c r="O65" s="220">
        <f>ROUND(VLOOKUP(A65,'Contribution Allocation_Report'!$A$9:$D$314,4,FALSE)*'OPEB Amounts_Report'!$O$321,0)</f>
        <v>-4228387</v>
      </c>
      <c r="P65" s="220">
        <f>INDEX('Change in Proportion Layers'!$AC$8:$AC$320,MATCH('OPEB Amounts_Report'!A65,'Change in Proportion Layers'!$A$8:$A$320,0))</f>
        <v>-1158792</v>
      </c>
      <c r="Q65" s="220">
        <f t="shared" si="2"/>
        <v>-5387179</v>
      </c>
    </row>
    <row r="66" spans="1:17" ht="12" customHeight="1">
      <c r="A66" s="51">
        <v>2410</v>
      </c>
      <c r="B66" s="55" t="s">
        <v>55</v>
      </c>
      <c r="C66" s="147">
        <f>ROUND(VLOOKUP(A66,'Contribution Allocation_Report'!$A$9:$D$314,4,FALSE)*'OPEB Amounts_Report'!$C$321,0)</f>
        <v>2714939</v>
      </c>
      <c r="D66" s="147">
        <f>ROUND(VLOOKUP(A66,'Contribution Allocation_Report'!$A$9:$D$314,4,FALSE)*'OPEB Amounts_Report'!$D$321,0)</f>
        <v>16512</v>
      </c>
      <c r="E66" s="147">
        <f>ROUND(VLOOKUP(A66,'Contribution Allocation_Report'!$A$9:$D$314,4,FALSE)*'OPEB Amounts_Report'!$E$321,0)</f>
        <v>390677</v>
      </c>
      <c r="F66" s="147">
        <f>INDEX('Change in Proportion Layers'!$AE$8:$AE$320,MATCH('OPEB Amounts_Report'!A66,'Change in Proportion Layers'!$A$8:$A$320,0))</f>
        <v>372000</v>
      </c>
      <c r="G66" s="147">
        <f t="shared" si="0"/>
        <v>779189</v>
      </c>
      <c r="H66" s="147"/>
      <c r="I66" s="147">
        <f>ROUND(VLOOKUP(A66,'Contribution Allocation_Report'!$A$9:$D$314,4,FALSE)*'OPEB Amounts_Report'!$I$321,0)</f>
        <v>466495</v>
      </c>
      <c r="J66" s="147">
        <f>ROUND(VLOOKUP(A66,'Contribution Allocation_Report'!$A$9:$D$314,4,FALSE)*'OPEB Amounts_Report'!$J$321,0)</f>
        <v>41075</v>
      </c>
      <c r="K66" s="147">
        <f>ROUND(VLOOKUP(A66,'Contribution Allocation_Report'!$A$9:$D$314,4,FALSE)*$K$321,0)</f>
        <v>1252127</v>
      </c>
      <c r="L66" s="147">
        <f>INDEX('Change in Proportion Layers'!$AF$8:$AF$320,MATCH('OPEB Amounts_Report'!A66,'Change in Proportion Layers'!$A$8:$A$320,0))</f>
        <v>713383</v>
      </c>
      <c r="M66" s="147">
        <f t="shared" si="1"/>
        <v>2473080</v>
      </c>
      <c r="N66" s="221"/>
      <c r="O66" s="221">
        <f>ROUND(VLOOKUP(A66,'Contribution Allocation_Report'!$A$9:$D$314,4,FALSE)*'OPEB Amounts_Report'!$O$321,0)</f>
        <v>-464255</v>
      </c>
      <c r="P66" s="221">
        <f>INDEX('Change in Proportion Layers'!$AC$8:$AC$320,MATCH('OPEB Amounts_Report'!A66,'Change in Proportion Layers'!$A$8:$A$320,0))</f>
        <v>-20174</v>
      </c>
      <c r="Q66" s="221">
        <f t="shared" si="2"/>
        <v>-484429</v>
      </c>
    </row>
    <row r="67" spans="1:17" ht="12" customHeight="1">
      <c r="A67" s="53">
        <v>2500</v>
      </c>
      <c r="B67" s="54" t="s">
        <v>56</v>
      </c>
      <c r="C67" s="148">
        <f>ROUND(VLOOKUP(A67,'Contribution Allocation_Report'!$A$9:$D$314,4,FALSE)*'OPEB Amounts_Report'!$C$321,0)</f>
        <v>461895</v>
      </c>
      <c r="D67" s="148">
        <f>ROUND(VLOOKUP(A67,'Contribution Allocation_Report'!$A$9:$D$314,4,FALSE)*'OPEB Amounts_Report'!$D$321,0)</f>
        <v>2809</v>
      </c>
      <c r="E67" s="148">
        <f>ROUND(VLOOKUP(A67,'Contribution Allocation_Report'!$A$9:$D$314,4,FALSE)*'OPEB Amounts_Report'!$E$321,0)</f>
        <v>66466</v>
      </c>
      <c r="F67" s="148">
        <f>INDEX('Change in Proportion Layers'!$AE$8:$AE$320,MATCH('OPEB Amounts_Report'!A67,'Change in Proportion Layers'!$A$8:$A$320,0))</f>
        <v>103364</v>
      </c>
      <c r="G67" s="148">
        <f t="shared" si="0"/>
        <v>172639</v>
      </c>
      <c r="H67" s="148"/>
      <c r="I67" s="148">
        <f>ROUND(VLOOKUP(A67,'Contribution Allocation_Report'!$A$9:$D$314,4,FALSE)*'OPEB Amounts_Report'!$I$321,0)</f>
        <v>79365</v>
      </c>
      <c r="J67" s="148">
        <f>ROUND(VLOOKUP(A67,'Contribution Allocation_Report'!$A$9:$D$314,4,FALSE)*'OPEB Amounts_Report'!$J$321,0)</f>
        <v>6988</v>
      </c>
      <c r="K67" s="148">
        <f>ROUND(VLOOKUP(A67,'Contribution Allocation_Report'!$A$9:$D$314,4,FALSE)*$K$321,0)</f>
        <v>213025</v>
      </c>
      <c r="L67" s="148">
        <f>INDEX('Change in Proportion Layers'!$AF$8:$AF$320,MATCH('OPEB Amounts_Report'!A67,'Change in Proportion Layers'!$A$8:$A$320,0))</f>
        <v>100986</v>
      </c>
      <c r="M67" s="148">
        <f t="shared" si="1"/>
        <v>400364</v>
      </c>
      <c r="N67" s="220"/>
      <c r="O67" s="220">
        <f>ROUND(VLOOKUP(A67,'Contribution Allocation_Report'!$A$9:$D$314,4,FALSE)*'OPEB Amounts_Report'!$O$321,0)</f>
        <v>-78984</v>
      </c>
      <c r="P67" s="220">
        <f>INDEX('Change in Proportion Layers'!$AC$8:$AC$320,MATCH('OPEB Amounts_Report'!A67,'Change in Proportion Layers'!$A$8:$A$320,0))</f>
        <v>7492</v>
      </c>
      <c r="Q67" s="220">
        <f t="shared" si="2"/>
        <v>-71492</v>
      </c>
    </row>
    <row r="68" spans="1:17" ht="12" customHeight="1">
      <c r="A68" s="51">
        <v>2550</v>
      </c>
      <c r="B68" s="55" t="s">
        <v>57</v>
      </c>
      <c r="C68" s="147">
        <f>ROUND(VLOOKUP(A68,'Contribution Allocation_Report'!$A$9:$D$314,4,FALSE)*'OPEB Amounts_Report'!$C$321,0)</f>
        <v>1681079</v>
      </c>
      <c r="D68" s="147">
        <f>ROUND(VLOOKUP(A68,'Contribution Allocation_Report'!$A$9:$D$314,4,FALSE)*'OPEB Amounts_Report'!$D$321,0)</f>
        <v>10224</v>
      </c>
      <c r="E68" s="147">
        <f>ROUND(VLOOKUP(A68,'Contribution Allocation_Report'!$A$9:$D$314,4,FALSE)*'OPEB Amounts_Report'!$E$321,0)</f>
        <v>241906</v>
      </c>
      <c r="F68" s="147">
        <f>INDEX('Change in Proportion Layers'!$AE$8:$AE$320,MATCH('OPEB Amounts_Report'!A68,'Change in Proportion Layers'!$A$8:$A$320,0))</f>
        <v>0</v>
      </c>
      <c r="G68" s="147">
        <f t="shared" si="0"/>
        <v>252130</v>
      </c>
      <c r="H68" s="147"/>
      <c r="I68" s="147">
        <f>ROUND(VLOOKUP(A68,'Contribution Allocation_Report'!$A$9:$D$314,4,FALSE)*'OPEB Amounts_Report'!$I$321,0)</f>
        <v>288852</v>
      </c>
      <c r="J68" s="147">
        <f>ROUND(VLOOKUP(A68,'Contribution Allocation_Report'!$A$9:$D$314,4,FALSE)*'OPEB Amounts_Report'!$J$321,0)</f>
        <v>25433</v>
      </c>
      <c r="K68" s="147">
        <f>ROUND(VLOOKUP(A68,'Contribution Allocation_Report'!$A$9:$D$314,4,FALSE)*$K$321,0)</f>
        <v>775312</v>
      </c>
      <c r="L68" s="147">
        <f>INDEX('Change in Proportion Layers'!$AF$8:$AF$320,MATCH('OPEB Amounts_Report'!A68,'Change in Proportion Layers'!$A$8:$A$320,0))</f>
        <v>212836</v>
      </c>
      <c r="M68" s="147">
        <f t="shared" si="1"/>
        <v>1302433</v>
      </c>
      <c r="N68" s="221"/>
      <c r="O68" s="221">
        <f>ROUND(VLOOKUP(A68,'Contribution Allocation_Report'!$A$9:$D$314,4,FALSE)*'OPEB Amounts_Report'!$O$321,0)</f>
        <v>-287465</v>
      </c>
      <c r="P68" s="221">
        <f>INDEX('Change in Proportion Layers'!$AC$8:$AC$320,MATCH('OPEB Amounts_Report'!A68,'Change in Proportion Layers'!$A$8:$A$320,0))</f>
        <v>-127192</v>
      </c>
      <c r="Q68" s="221">
        <f t="shared" si="2"/>
        <v>-414657</v>
      </c>
    </row>
    <row r="69" spans="1:17" ht="12" customHeight="1">
      <c r="A69" s="53">
        <v>2570</v>
      </c>
      <c r="B69" s="54" t="s">
        <v>58</v>
      </c>
      <c r="C69" s="148">
        <f>ROUND(VLOOKUP(A69,'Contribution Allocation_Report'!$A$9:$D$314,4,FALSE)*'OPEB Amounts_Report'!$C$321,0)</f>
        <v>1137903</v>
      </c>
      <c r="D69" s="148">
        <f>ROUND(VLOOKUP(A69,'Contribution Allocation_Report'!$A$9:$D$314,4,FALSE)*'OPEB Amounts_Report'!$D$321,0)</f>
        <v>6920</v>
      </c>
      <c r="E69" s="148">
        <f>ROUND(VLOOKUP(A69,'Contribution Allocation_Report'!$A$9:$D$314,4,FALSE)*'OPEB Amounts_Report'!$E$321,0)</f>
        <v>163743</v>
      </c>
      <c r="F69" s="148">
        <f>INDEX('Change in Proportion Layers'!$AE$8:$AE$320,MATCH('OPEB Amounts_Report'!A69,'Change in Proportion Layers'!$A$8:$A$320,0))</f>
        <v>123021</v>
      </c>
      <c r="G69" s="148">
        <f t="shared" si="0"/>
        <v>293684</v>
      </c>
      <c r="H69" s="148"/>
      <c r="I69" s="148">
        <f>ROUND(VLOOKUP(A69,'Contribution Allocation_Report'!$A$9:$D$314,4,FALSE)*'OPEB Amounts_Report'!$I$321,0)</f>
        <v>195520</v>
      </c>
      <c r="J69" s="148">
        <f>ROUND(VLOOKUP(A69,'Contribution Allocation_Report'!$A$9:$D$314,4,FALSE)*'OPEB Amounts_Report'!$J$321,0)</f>
        <v>17215</v>
      </c>
      <c r="K69" s="148">
        <f>ROUND(VLOOKUP(A69,'Contribution Allocation_Report'!$A$9:$D$314,4,FALSE)*$K$321,0)</f>
        <v>524800</v>
      </c>
      <c r="L69" s="148">
        <f>INDEX('Change in Proportion Layers'!$AF$8:$AF$320,MATCH('OPEB Amounts_Report'!A69,'Change in Proportion Layers'!$A$8:$A$320,0))</f>
        <v>143640</v>
      </c>
      <c r="M69" s="148">
        <f t="shared" si="1"/>
        <v>881175</v>
      </c>
      <c r="N69" s="220"/>
      <c r="O69" s="220">
        <f>ROUND(VLOOKUP(A69,'Contribution Allocation_Report'!$A$9:$D$314,4,FALSE)*'OPEB Amounts_Report'!$O$321,0)</f>
        <v>-194582</v>
      </c>
      <c r="P69" s="220">
        <f>INDEX('Change in Proportion Layers'!$AC$8:$AC$320,MATCH('OPEB Amounts_Report'!A69,'Change in Proportion Layers'!$A$8:$A$320,0))</f>
        <v>-70175</v>
      </c>
      <c r="Q69" s="220">
        <f t="shared" si="2"/>
        <v>-264757</v>
      </c>
    </row>
    <row r="70" spans="1:17" ht="12" customHeight="1">
      <c r="A70" s="51">
        <v>2620</v>
      </c>
      <c r="B70" s="55" t="s">
        <v>59</v>
      </c>
      <c r="C70" s="147">
        <f>ROUND(VLOOKUP(A70,'Contribution Allocation_Report'!$A$9:$D$314,4,FALSE)*'OPEB Amounts_Report'!$C$321,0)</f>
        <v>11249471</v>
      </c>
      <c r="D70" s="147">
        <f>ROUND(VLOOKUP(A70,'Contribution Allocation_Report'!$A$9:$D$314,4,FALSE)*'OPEB Amounts_Report'!$D$321,0)</f>
        <v>68416</v>
      </c>
      <c r="E70" s="147">
        <f>ROUND(VLOOKUP(A70,'Contribution Allocation_Report'!$A$9:$D$314,4,FALSE)*'OPEB Amounts_Report'!$E$321,0)</f>
        <v>1618789</v>
      </c>
      <c r="F70" s="147">
        <f>INDEX('Change in Proportion Layers'!$AE$8:$AE$320,MATCH('OPEB Amounts_Report'!A70,'Change in Proportion Layers'!$A$8:$A$320,0))</f>
        <v>1534716</v>
      </c>
      <c r="G70" s="147">
        <f t="shared" si="0"/>
        <v>3221921</v>
      </c>
      <c r="H70" s="147"/>
      <c r="I70" s="147">
        <f>ROUND(VLOOKUP(A70,'Contribution Allocation_Report'!$A$9:$D$314,4,FALSE)*'OPEB Amounts_Report'!$I$321,0)</f>
        <v>1932942</v>
      </c>
      <c r="J70" s="147">
        <f>ROUND(VLOOKUP(A70,'Contribution Allocation_Report'!$A$9:$D$314,4,FALSE)*'OPEB Amounts_Report'!$J$321,0)</f>
        <v>170194</v>
      </c>
      <c r="K70" s="147">
        <f>ROUND(VLOOKUP(A70,'Contribution Allocation_Report'!$A$9:$D$314,4,FALSE)*$K$321,0)</f>
        <v>5188244</v>
      </c>
      <c r="L70" s="147">
        <f>INDEX('Change in Proportion Layers'!$AF$8:$AF$320,MATCH('OPEB Amounts_Report'!A70,'Change in Proportion Layers'!$A$8:$A$320,0))</f>
        <v>1131489</v>
      </c>
      <c r="M70" s="147">
        <f t="shared" si="1"/>
        <v>8422869</v>
      </c>
      <c r="N70" s="221"/>
      <c r="O70" s="221">
        <f>ROUND(VLOOKUP(A70,'Contribution Allocation_Report'!$A$9:$D$314,4,FALSE)*'OPEB Amounts_Report'!$O$321,0)</f>
        <v>-1923661</v>
      </c>
      <c r="P70" s="221">
        <f>INDEX('Change in Proportion Layers'!$AC$8:$AC$320,MATCH('OPEB Amounts_Report'!A70,'Change in Proportion Layers'!$A$8:$A$320,0))</f>
        <v>12708</v>
      </c>
      <c r="Q70" s="221">
        <f t="shared" si="2"/>
        <v>-1910953</v>
      </c>
    </row>
    <row r="71" spans="1:17" ht="12" customHeight="1">
      <c r="A71" s="53">
        <v>2630</v>
      </c>
      <c r="B71" s="54" t="s">
        <v>60</v>
      </c>
      <c r="C71" s="148">
        <f>ROUND(VLOOKUP(A71,'Contribution Allocation_Report'!$A$9:$D$314,4,FALSE)*'OPEB Amounts_Report'!$C$321,0)</f>
        <v>7824742</v>
      </c>
      <c r="D71" s="148">
        <f>ROUND(VLOOKUP(A71,'Contribution Allocation_Report'!$A$9:$D$314,4,FALSE)*'OPEB Amounts_Report'!$D$321,0)</f>
        <v>47588</v>
      </c>
      <c r="E71" s="148">
        <f>ROUND(VLOOKUP(A71,'Contribution Allocation_Report'!$A$9:$D$314,4,FALSE)*'OPEB Amounts_Report'!$E$321,0)</f>
        <v>1125974</v>
      </c>
      <c r="F71" s="148">
        <f>INDEX('Change in Proportion Layers'!$AE$8:$AE$320,MATCH('OPEB Amounts_Report'!A71,'Change in Proportion Layers'!$A$8:$A$320,0))</f>
        <v>695069</v>
      </c>
      <c r="G71" s="148">
        <f t="shared" si="0"/>
        <v>1868631</v>
      </c>
      <c r="H71" s="148"/>
      <c r="I71" s="148">
        <f>ROUND(VLOOKUP(A71,'Contribution Allocation_Report'!$A$9:$D$314,4,FALSE)*'OPEB Amounts_Report'!$I$321,0)</f>
        <v>1344487</v>
      </c>
      <c r="J71" s="148">
        <f>ROUND(VLOOKUP(A71,'Contribution Allocation_Report'!$A$9:$D$314,4,FALSE)*'OPEB Amounts_Report'!$J$321,0)</f>
        <v>118381</v>
      </c>
      <c r="K71" s="148">
        <f>ROUND(VLOOKUP(A71,'Contribution Allocation_Report'!$A$9:$D$314,4,FALSE)*$K$321,0)</f>
        <v>3608762</v>
      </c>
      <c r="L71" s="148">
        <f>INDEX('Change in Proportion Layers'!$AF$8:$AF$320,MATCH('OPEB Amounts_Report'!A71,'Change in Proportion Layers'!$A$8:$A$320,0))</f>
        <v>2065965</v>
      </c>
      <c r="M71" s="148">
        <f t="shared" si="1"/>
        <v>7137595</v>
      </c>
      <c r="N71" s="220"/>
      <c r="O71" s="220">
        <f>ROUND(VLOOKUP(A71,'Contribution Allocation_Report'!$A$9:$D$314,4,FALSE)*'OPEB Amounts_Report'!$O$321,0)</f>
        <v>-1338032</v>
      </c>
      <c r="P71" s="220">
        <f>INDEX('Change in Proportion Layers'!$AC$8:$AC$320,MATCH('OPEB Amounts_Report'!A71,'Change in Proportion Layers'!$A$8:$A$320,0))</f>
        <v>-509526</v>
      </c>
      <c r="Q71" s="220">
        <f t="shared" si="2"/>
        <v>-1847558</v>
      </c>
    </row>
    <row r="72" spans="1:17" ht="12" customHeight="1">
      <c r="A72" s="51">
        <v>2690</v>
      </c>
      <c r="B72" s="55" t="s">
        <v>61</v>
      </c>
      <c r="C72" s="147">
        <f>ROUND(VLOOKUP(A72,'Contribution Allocation_Report'!$A$9:$D$314,4,FALSE)*'OPEB Amounts_Report'!$C$321,0)</f>
        <v>21852789</v>
      </c>
      <c r="D72" s="147">
        <f>ROUND(VLOOKUP(A72,'Contribution Allocation_Report'!$A$9:$D$314,4,FALSE)*'OPEB Amounts_Report'!$D$321,0)</f>
        <v>132903</v>
      </c>
      <c r="E72" s="147">
        <f>ROUND(VLOOKUP(A72,'Contribution Allocation_Report'!$A$9:$D$314,4,FALSE)*'OPEB Amounts_Report'!$E$321,0)</f>
        <v>3144598</v>
      </c>
      <c r="F72" s="147">
        <f>INDEX('Change in Proportion Layers'!$AE$8:$AE$320,MATCH('OPEB Amounts_Report'!A72,'Change in Proportion Layers'!$A$8:$A$320,0))</f>
        <v>2224105</v>
      </c>
      <c r="G72" s="147">
        <f t="shared" si="0"/>
        <v>5501606</v>
      </c>
      <c r="H72" s="147"/>
      <c r="I72" s="147">
        <f>ROUND(VLOOKUP(A72,'Contribution Allocation_Report'!$A$9:$D$314,4,FALSE)*'OPEB Amounts_Report'!$I$321,0)</f>
        <v>3754858</v>
      </c>
      <c r="J72" s="147">
        <f>ROUND(VLOOKUP(A72,'Contribution Allocation_Report'!$A$9:$D$314,4,FALSE)*'OPEB Amounts_Report'!$J$321,0)</f>
        <v>330613</v>
      </c>
      <c r="K72" s="147">
        <f>ROUND(VLOOKUP(A72,'Contribution Allocation_Report'!$A$9:$D$314,4,FALSE)*$K$321,0)</f>
        <v>10078482</v>
      </c>
      <c r="L72" s="147">
        <f>INDEX('Change in Proportion Layers'!$AF$8:$AF$320,MATCH('OPEB Amounts_Report'!A72,'Change in Proportion Layers'!$A$8:$A$320,0))</f>
        <v>2281691</v>
      </c>
      <c r="M72" s="147">
        <f t="shared" si="1"/>
        <v>16445644</v>
      </c>
      <c r="N72" s="221"/>
      <c r="O72" s="221">
        <f>ROUND(VLOOKUP(A72,'Contribution Allocation_Report'!$A$9:$D$314,4,FALSE)*'OPEB Amounts_Report'!$O$321,0)</f>
        <v>-3736831</v>
      </c>
      <c r="P72" s="221">
        <f>INDEX('Change in Proportion Layers'!$AC$8:$AC$320,MATCH('OPEB Amounts_Report'!A72,'Change in Proportion Layers'!$A$8:$A$320,0))</f>
        <v>-1533988</v>
      </c>
      <c r="Q72" s="221">
        <f t="shared" si="2"/>
        <v>-5270819</v>
      </c>
    </row>
    <row r="73" spans="1:17" ht="12" customHeight="1">
      <c r="A73" s="53">
        <v>2710</v>
      </c>
      <c r="B73" s="54" t="s">
        <v>62</v>
      </c>
      <c r="C73" s="148">
        <f>ROUND(VLOOKUP(A73,'Contribution Allocation_Report'!$A$9:$D$314,4,FALSE)*'OPEB Amounts_Report'!$C$321,0)</f>
        <v>169886</v>
      </c>
      <c r="D73" s="148">
        <f>ROUND(VLOOKUP(A73,'Contribution Allocation_Report'!$A$9:$D$314,4,FALSE)*'OPEB Amounts_Report'!$D$321,0)</f>
        <v>1033</v>
      </c>
      <c r="E73" s="148">
        <f>ROUND(VLOOKUP(A73,'Contribution Allocation_Report'!$A$9:$D$314,4,FALSE)*'OPEB Amounts_Report'!$E$321,0)</f>
        <v>24446</v>
      </c>
      <c r="F73" s="148">
        <f>INDEX('Change in Proportion Layers'!$AE$8:$AE$320,MATCH('OPEB Amounts_Report'!A73,'Change in Proportion Layers'!$A$8:$A$320,0))</f>
        <v>0</v>
      </c>
      <c r="G73" s="148">
        <f t="shared" si="0"/>
        <v>25479</v>
      </c>
      <c r="H73" s="148"/>
      <c r="I73" s="148">
        <f>ROUND(VLOOKUP(A73,'Contribution Allocation_Report'!$A$9:$D$314,4,FALSE)*'OPEB Amounts_Report'!$I$321,0)</f>
        <v>29191</v>
      </c>
      <c r="J73" s="148">
        <f>ROUND(VLOOKUP(A73,'Contribution Allocation_Report'!$A$9:$D$314,4,FALSE)*'OPEB Amounts_Report'!$J$321,0)</f>
        <v>2570</v>
      </c>
      <c r="K73" s="148">
        <f>ROUND(VLOOKUP(A73,'Contribution Allocation_Report'!$A$9:$D$314,4,FALSE)*$K$321,0)</f>
        <v>78351</v>
      </c>
      <c r="L73" s="148">
        <f>INDEX('Change in Proportion Layers'!$AF$8:$AF$320,MATCH('OPEB Amounts_Report'!A73,'Change in Proportion Layers'!$A$8:$A$320,0))</f>
        <v>282611</v>
      </c>
      <c r="M73" s="148">
        <f t="shared" si="1"/>
        <v>392723</v>
      </c>
      <c r="N73" s="220"/>
      <c r="O73" s="220">
        <f>ROUND(VLOOKUP(A73,'Contribution Allocation_Report'!$A$9:$D$314,4,FALSE)*'OPEB Amounts_Report'!$O$321,0)</f>
        <v>-29051</v>
      </c>
      <c r="P73" s="220">
        <f>INDEX('Change in Proportion Layers'!$AC$8:$AC$320,MATCH('OPEB Amounts_Report'!A73,'Change in Proportion Layers'!$A$8:$A$320,0))</f>
        <v>-152797</v>
      </c>
      <c r="Q73" s="220">
        <f t="shared" si="2"/>
        <v>-181848</v>
      </c>
    </row>
    <row r="74" spans="1:17" ht="12" customHeight="1">
      <c r="A74" s="51">
        <v>2730</v>
      </c>
      <c r="B74" s="55" t="s">
        <v>63</v>
      </c>
      <c r="C74" s="147">
        <f>ROUND(VLOOKUP(A74,'Contribution Allocation_Report'!$A$9:$D$314,4,FALSE)*'OPEB Amounts_Report'!$C$321,0)</f>
        <v>1825586</v>
      </c>
      <c r="D74" s="147">
        <f>ROUND(VLOOKUP(A74,'Contribution Allocation_Report'!$A$9:$D$314,4,FALSE)*'OPEB Amounts_Report'!$D$321,0)</f>
        <v>11103</v>
      </c>
      <c r="E74" s="147">
        <f>ROUND(VLOOKUP(A74,'Contribution Allocation_Report'!$A$9:$D$314,4,FALSE)*'OPEB Amounts_Report'!$E$321,0)</f>
        <v>262700</v>
      </c>
      <c r="F74" s="147">
        <f>INDEX('Change in Proportion Layers'!$AE$8:$AE$320,MATCH('OPEB Amounts_Report'!A74,'Change in Proportion Layers'!$A$8:$A$320,0))</f>
        <v>385586</v>
      </c>
      <c r="G74" s="147">
        <f t="shared" ref="G74:G137" si="3">SUM(D74:F74)</f>
        <v>659389</v>
      </c>
      <c r="H74" s="147"/>
      <c r="I74" s="147">
        <f>ROUND(VLOOKUP(A74,'Contribution Allocation_Report'!$A$9:$D$314,4,FALSE)*'OPEB Amounts_Report'!$I$321,0)</f>
        <v>313681</v>
      </c>
      <c r="J74" s="147">
        <f>ROUND(VLOOKUP(A74,'Contribution Allocation_Report'!$A$9:$D$314,4,FALSE)*'OPEB Amounts_Report'!$J$321,0)</f>
        <v>27619</v>
      </c>
      <c r="K74" s="147">
        <f>ROUND(VLOOKUP(A74,'Contribution Allocation_Report'!$A$9:$D$314,4,FALSE)*$K$321,0)</f>
        <v>841958</v>
      </c>
      <c r="L74" s="147">
        <f>INDEX('Change in Proportion Layers'!$AF$8:$AF$320,MATCH('OPEB Amounts_Report'!A74,'Change in Proportion Layers'!$A$8:$A$320,0))</f>
        <v>4881</v>
      </c>
      <c r="M74" s="147">
        <f t="shared" ref="M74:M139" si="4">SUM(I74:L74)</f>
        <v>1188139</v>
      </c>
      <c r="N74" s="221"/>
      <c r="O74" s="221">
        <f>ROUND(VLOOKUP(A74,'Contribution Allocation_Report'!$A$9:$D$314,4,FALSE)*'OPEB Amounts_Report'!$O$321,0)</f>
        <v>-312175</v>
      </c>
      <c r="P74" s="221">
        <f>INDEX('Change in Proportion Layers'!$AC$8:$AC$320,MATCH('OPEB Amounts_Report'!A74,'Change in Proportion Layers'!$A$8:$A$320,0))</f>
        <v>58734</v>
      </c>
      <c r="Q74" s="221">
        <f t="shared" si="2"/>
        <v>-253441</v>
      </c>
    </row>
    <row r="75" spans="1:17" ht="12" customHeight="1">
      <c r="A75" s="53">
        <v>2950</v>
      </c>
      <c r="B75" s="54" t="s">
        <v>64</v>
      </c>
      <c r="C75" s="148">
        <f>ROUND(VLOOKUP(A75,'Contribution Allocation_Report'!$A$9:$D$314,4,FALSE)*'OPEB Amounts_Report'!$C$321,0)</f>
        <v>1510952</v>
      </c>
      <c r="D75" s="148">
        <f>ROUND(VLOOKUP(A75,'Contribution Allocation_Report'!$A$9:$D$314,4,FALSE)*'OPEB Amounts_Report'!$D$321,0)</f>
        <v>9189</v>
      </c>
      <c r="E75" s="148">
        <f>ROUND(VLOOKUP(A75,'Contribution Allocation_Report'!$A$9:$D$314,4,FALSE)*'OPEB Amounts_Report'!$E$321,0)</f>
        <v>217425</v>
      </c>
      <c r="F75" s="148">
        <f>INDEX('Change in Proportion Layers'!$AE$8:$AE$320,MATCH('OPEB Amounts_Report'!A75,'Change in Proportion Layers'!$A$8:$A$320,0))</f>
        <v>588640</v>
      </c>
      <c r="G75" s="148">
        <f t="shared" si="3"/>
        <v>815254</v>
      </c>
      <c r="H75" s="148"/>
      <c r="I75" s="148">
        <f>ROUND(VLOOKUP(A75,'Contribution Allocation_Report'!$A$9:$D$314,4,FALSE)*'OPEB Amounts_Report'!$I$321,0)</f>
        <v>259620</v>
      </c>
      <c r="J75" s="148">
        <f>ROUND(VLOOKUP(A75,'Contribution Allocation_Report'!$A$9:$D$314,4,FALSE)*'OPEB Amounts_Report'!$J$321,0)</f>
        <v>22859</v>
      </c>
      <c r="K75" s="148">
        <f>ROUND(VLOOKUP(A75,'Contribution Allocation_Report'!$A$9:$D$314,4,FALSE)*$K$321,0)</f>
        <v>696849</v>
      </c>
      <c r="L75" s="148">
        <f>INDEX('Change in Proportion Layers'!$AF$8:$AF$320,MATCH('OPEB Amounts_Report'!A75,'Change in Proportion Layers'!$A$8:$A$320,0))</f>
        <v>243869</v>
      </c>
      <c r="M75" s="148">
        <f t="shared" si="4"/>
        <v>1223197</v>
      </c>
      <c r="N75" s="220"/>
      <c r="O75" s="220">
        <f>ROUND(VLOOKUP(A75,'Contribution Allocation_Report'!$A$9:$D$314,4,FALSE)*'OPEB Amounts_Report'!$O$321,0)</f>
        <v>-258373</v>
      </c>
      <c r="P75" s="220">
        <f>INDEX('Change in Proportion Layers'!$AC$8:$AC$320,MATCH('OPEB Amounts_Report'!A75,'Change in Proportion Layers'!$A$8:$A$320,0))</f>
        <v>-10537</v>
      </c>
      <c r="Q75" s="220">
        <f t="shared" ref="Q75:Q140" si="5">+O75+P75</f>
        <v>-268910</v>
      </c>
    </row>
    <row r="76" spans="1:17" ht="12" customHeight="1">
      <c r="A76" s="51">
        <v>2760</v>
      </c>
      <c r="B76" s="55" t="s">
        <v>65</v>
      </c>
      <c r="C76" s="147">
        <f>ROUND(VLOOKUP(A76,'Contribution Allocation_Report'!$A$9:$D$314,4,FALSE)*'OPEB Amounts_Report'!$C$321,0)</f>
        <v>1029762</v>
      </c>
      <c r="D76" s="147">
        <f>ROUND(VLOOKUP(A76,'Contribution Allocation_Report'!$A$9:$D$314,4,FALSE)*'OPEB Amounts_Report'!$D$321,0)</f>
        <v>6263</v>
      </c>
      <c r="E76" s="147">
        <f>ROUND(VLOOKUP(A76,'Contribution Allocation_Report'!$A$9:$D$314,4,FALSE)*'OPEB Amounts_Report'!$E$321,0)</f>
        <v>148182</v>
      </c>
      <c r="F76" s="147">
        <f>INDEX('Change in Proportion Layers'!$AE$8:$AE$320,MATCH('OPEB Amounts_Report'!A76,'Change in Proportion Layers'!$A$8:$A$320,0))</f>
        <v>44923</v>
      </c>
      <c r="G76" s="147">
        <f t="shared" si="3"/>
        <v>199368</v>
      </c>
      <c r="H76" s="147"/>
      <c r="I76" s="147">
        <f>ROUND(VLOOKUP(A76,'Contribution Allocation_Report'!$A$9:$D$314,4,FALSE)*'OPEB Amounts_Report'!$I$321,0)</f>
        <v>176939</v>
      </c>
      <c r="J76" s="147">
        <f>ROUND(VLOOKUP(A76,'Contribution Allocation_Report'!$A$9:$D$314,4,FALSE)*'OPEB Amounts_Report'!$J$321,0)</f>
        <v>15579</v>
      </c>
      <c r="K76" s="147">
        <f>ROUND(VLOOKUP(A76,'Contribution Allocation_Report'!$A$9:$D$314,4,FALSE)*$K$321,0)</f>
        <v>474925</v>
      </c>
      <c r="L76" s="147">
        <f>INDEX('Change in Proportion Layers'!$AF$8:$AF$320,MATCH('OPEB Amounts_Report'!A76,'Change in Proportion Layers'!$A$8:$A$320,0))</f>
        <v>267056</v>
      </c>
      <c r="M76" s="147">
        <f t="shared" si="4"/>
        <v>934499</v>
      </c>
      <c r="N76" s="221"/>
      <c r="O76" s="221">
        <f>ROUND(VLOOKUP(A76,'Contribution Allocation_Report'!$A$9:$D$314,4,FALSE)*'OPEB Amounts_Report'!$O$321,0)</f>
        <v>-176089</v>
      </c>
      <c r="P76" s="221">
        <f>INDEX('Change in Proportion Layers'!$AC$8:$AC$320,MATCH('OPEB Amounts_Report'!A76,'Change in Proportion Layers'!$A$8:$A$320,0))</f>
        <v>-41213</v>
      </c>
      <c r="Q76" s="221">
        <f t="shared" si="5"/>
        <v>-217302</v>
      </c>
    </row>
    <row r="77" spans="1:17" ht="12" customHeight="1">
      <c r="A77" s="53">
        <v>2780</v>
      </c>
      <c r="B77" s="54" t="s">
        <v>66</v>
      </c>
      <c r="C77" s="148">
        <f>ROUND(VLOOKUP(A77,'Contribution Allocation_Report'!$A$9:$D$314,4,FALSE)*'OPEB Amounts_Report'!$C$321,0)</f>
        <v>115224</v>
      </c>
      <c r="D77" s="148">
        <f>ROUND(VLOOKUP(A77,'Contribution Allocation_Report'!$A$9:$D$314,4,FALSE)*'OPEB Amounts_Report'!$D$321,0)</f>
        <v>701</v>
      </c>
      <c r="E77" s="148">
        <f>ROUND(VLOOKUP(A77,'Contribution Allocation_Report'!$A$9:$D$314,4,FALSE)*'OPEB Amounts_Report'!$E$321,0)</f>
        <v>16581</v>
      </c>
      <c r="F77" s="148">
        <f>INDEX('Change in Proportion Layers'!$AE$8:$AE$320,MATCH('OPEB Amounts_Report'!A77,'Change in Proportion Layers'!$A$8:$A$320,0))</f>
        <v>41377</v>
      </c>
      <c r="G77" s="148">
        <f t="shared" si="3"/>
        <v>58659</v>
      </c>
      <c r="H77" s="148"/>
      <c r="I77" s="148">
        <f>ROUND(VLOOKUP(A77,'Contribution Allocation_Report'!$A$9:$D$314,4,FALSE)*'OPEB Amounts_Report'!$I$321,0)</f>
        <v>19798</v>
      </c>
      <c r="J77" s="148">
        <f>ROUND(VLOOKUP(A77,'Contribution Allocation_Report'!$A$9:$D$314,4,FALSE)*'OPEB Amounts_Report'!$J$321,0)</f>
        <v>1743</v>
      </c>
      <c r="K77" s="148">
        <f>ROUND(VLOOKUP(A77,'Contribution Allocation_Report'!$A$9:$D$314,4,FALSE)*$K$321,0)</f>
        <v>53141</v>
      </c>
      <c r="L77" s="148">
        <f>INDEX('Change in Proportion Layers'!$AF$8:$AF$320,MATCH('OPEB Amounts_Report'!A77,'Change in Proportion Layers'!$A$8:$A$320,0))</f>
        <v>23601</v>
      </c>
      <c r="M77" s="148">
        <f t="shared" si="4"/>
        <v>98283</v>
      </c>
      <c r="N77" s="220"/>
      <c r="O77" s="220">
        <f>ROUND(VLOOKUP(A77,'Contribution Allocation_Report'!$A$9:$D$314,4,FALSE)*'OPEB Amounts_Report'!$O$321,0)</f>
        <v>-19703</v>
      </c>
      <c r="P77" s="220">
        <f>INDEX('Change in Proportion Layers'!$AC$8:$AC$320,MATCH('OPEB Amounts_Report'!A77,'Change in Proportion Layers'!$A$8:$A$320,0))</f>
        <v>-9793</v>
      </c>
      <c r="Q77" s="220">
        <f t="shared" si="5"/>
        <v>-29496</v>
      </c>
    </row>
    <row r="78" spans="1:17" ht="12" customHeight="1">
      <c r="A78" s="51">
        <v>2810</v>
      </c>
      <c r="B78" s="55" t="s">
        <v>67</v>
      </c>
      <c r="C78" s="147">
        <f>ROUND(VLOOKUP(A78,'Contribution Allocation_Report'!$A$9:$D$314,4,FALSE)*'OPEB Amounts_Report'!$C$321,0)</f>
        <v>783186</v>
      </c>
      <c r="D78" s="147">
        <f>ROUND(VLOOKUP(A78,'Contribution Allocation_Report'!$A$9:$D$314,4,FALSE)*'OPEB Amounts_Report'!$D$321,0)</f>
        <v>4763</v>
      </c>
      <c r="E78" s="147">
        <f>ROUND(VLOOKUP(A78,'Contribution Allocation_Report'!$A$9:$D$314,4,FALSE)*'OPEB Amounts_Report'!$E$321,0)</f>
        <v>112700</v>
      </c>
      <c r="F78" s="147">
        <f>INDEX('Change in Proportion Layers'!$AE$8:$AE$320,MATCH('OPEB Amounts_Report'!A78,'Change in Proportion Layers'!$A$8:$A$320,0))</f>
        <v>16460</v>
      </c>
      <c r="G78" s="147">
        <f t="shared" si="3"/>
        <v>133923</v>
      </c>
      <c r="H78" s="147"/>
      <c r="I78" s="147">
        <f>ROUND(VLOOKUP(A78,'Contribution Allocation_Report'!$A$9:$D$314,4,FALSE)*'OPEB Amounts_Report'!$I$321,0)</f>
        <v>134571</v>
      </c>
      <c r="J78" s="147">
        <f>ROUND(VLOOKUP(A78,'Contribution Allocation_Report'!$A$9:$D$314,4,FALSE)*'OPEB Amounts_Report'!$J$321,0)</f>
        <v>11849</v>
      </c>
      <c r="K78" s="147">
        <f>ROUND(VLOOKUP(A78,'Contribution Allocation_Report'!$A$9:$D$314,4,FALSE)*$K$321,0)</f>
        <v>361204</v>
      </c>
      <c r="L78" s="147">
        <f>INDEX('Change in Proportion Layers'!$AF$8:$AF$320,MATCH('OPEB Amounts_Report'!A78,'Change in Proportion Layers'!$A$8:$A$320,0))</f>
        <v>272493</v>
      </c>
      <c r="M78" s="147">
        <f t="shared" si="4"/>
        <v>780117</v>
      </c>
      <c r="N78" s="221"/>
      <c r="O78" s="221">
        <f>ROUND(VLOOKUP(A78,'Contribution Allocation_Report'!$A$9:$D$314,4,FALSE)*'OPEB Amounts_Report'!$O$321,0)</f>
        <v>-133925</v>
      </c>
      <c r="P78" s="221">
        <f>INDEX('Change in Proportion Layers'!$AC$8:$AC$320,MATCH('OPEB Amounts_Report'!A78,'Change in Proportion Layers'!$A$8:$A$320,0))</f>
        <v>-212764</v>
      </c>
      <c r="Q78" s="221">
        <f t="shared" si="5"/>
        <v>-346689</v>
      </c>
    </row>
    <row r="79" spans="1:17" ht="12" customHeight="1">
      <c r="A79" s="53">
        <v>18056</v>
      </c>
      <c r="B79" s="54" t="s">
        <v>68</v>
      </c>
      <c r="C79" s="148">
        <f>ROUND(VLOOKUP(A79,'Contribution Allocation_Report'!$A$9:$D$314,4,FALSE)*'OPEB Amounts_Report'!$C$321,0)</f>
        <v>1048047</v>
      </c>
      <c r="D79" s="148">
        <f>ROUND(VLOOKUP(A79,'Contribution Allocation_Report'!$A$9:$D$314,4,FALSE)*'OPEB Amounts_Report'!$D$321,0)</f>
        <v>6374</v>
      </c>
      <c r="E79" s="148">
        <f>ROUND(VLOOKUP(A79,'Contribution Allocation_Report'!$A$9:$D$314,4,FALSE)*'OPEB Amounts_Report'!$E$321,0)</f>
        <v>150813</v>
      </c>
      <c r="F79" s="148">
        <f>INDEX('Change in Proportion Layers'!$AE$8:$AE$320,MATCH('OPEB Amounts_Report'!A79,'Change in Proportion Layers'!$A$8:$A$320,0))</f>
        <v>69968</v>
      </c>
      <c r="G79" s="148">
        <f t="shared" si="3"/>
        <v>227155</v>
      </c>
      <c r="H79" s="148"/>
      <c r="I79" s="148">
        <f>ROUND(VLOOKUP(A79,'Contribution Allocation_Report'!$A$9:$D$314,4,FALSE)*'OPEB Amounts_Report'!$I$321,0)</f>
        <v>180081</v>
      </c>
      <c r="J79" s="148">
        <f>ROUND(VLOOKUP(A79,'Contribution Allocation_Report'!$A$9:$D$314,4,FALSE)*'OPEB Amounts_Report'!$J$321,0)</f>
        <v>15856</v>
      </c>
      <c r="K79" s="148">
        <f>ROUND(VLOOKUP(A79,'Contribution Allocation_Report'!$A$9:$D$314,4,FALSE)*$K$321,0)</f>
        <v>483358</v>
      </c>
      <c r="L79" s="148">
        <f>INDEX('Change in Proportion Layers'!$AF$8:$AF$320,MATCH('OPEB Amounts_Report'!A79,'Change in Proportion Layers'!$A$8:$A$320,0))</f>
        <v>144311</v>
      </c>
      <c r="M79" s="148">
        <f t="shared" si="4"/>
        <v>823606</v>
      </c>
      <c r="N79" s="220"/>
      <c r="O79" s="220">
        <f>ROUND(VLOOKUP(A79,'Contribution Allocation_Report'!$A$9:$D$314,4,FALSE)*'OPEB Amounts_Report'!$O$321,0)</f>
        <v>-179216</v>
      </c>
      <c r="P79" s="220">
        <f>INDEX('Change in Proportion Layers'!$AC$8:$AC$320,MATCH('OPEB Amounts_Report'!A79,'Change in Proportion Layers'!$A$8:$A$320,0))</f>
        <v>-7278</v>
      </c>
      <c r="Q79" s="220">
        <f t="shared" si="5"/>
        <v>-186494</v>
      </c>
    </row>
    <row r="80" spans="1:17" ht="12" customHeight="1">
      <c r="A80" s="51">
        <v>15047</v>
      </c>
      <c r="B80" s="55" t="s">
        <v>69</v>
      </c>
      <c r="C80" s="147">
        <f>ROUND(VLOOKUP(A80,'Contribution Allocation_Report'!$A$9:$D$314,4,FALSE)*'OPEB Amounts_Report'!$C$321,0)</f>
        <v>966307</v>
      </c>
      <c r="D80" s="147">
        <f>ROUND(VLOOKUP(A80,'Contribution Allocation_Report'!$A$9:$D$314,4,FALSE)*'OPEB Amounts_Report'!$D$321,0)</f>
        <v>5877</v>
      </c>
      <c r="E80" s="147">
        <f>ROUND(VLOOKUP(A80,'Contribution Allocation_Report'!$A$9:$D$314,4,FALSE)*'OPEB Amounts_Report'!$E$321,0)</f>
        <v>139051</v>
      </c>
      <c r="F80" s="147">
        <f>INDEX('Change in Proportion Layers'!$AE$8:$AE$320,MATCH('OPEB Amounts_Report'!A80,'Change in Proportion Layers'!$A$8:$A$320,0))</f>
        <v>180232</v>
      </c>
      <c r="G80" s="147">
        <f t="shared" si="3"/>
        <v>325160</v>
      </c>
      <c r="H80" s="147"/>
      <c r="I80" s="147">
        <f>ROUND(VLOOKUP(A80,'Contribution Allocation_Report'!$A$9:$D$314,4,FALSE)*'OPEB Amounts_Report'!$I$321,0)</f>
        <v>166036</v>
      </c>
      <c r="J80" s="147">
        <f>ROUND(VLOOKUP(A80,'Contribution Allocation_Report'!$A$9:$D$314,4,FALSE)*'OPEB Amounts_Report'!$J$321,0)</f>
        <v>14619</v>
      </c>
      <c r="K80" s="147">
        <f>ROUND(VLOOKUP(A80,'Contribution Allocation_Report'!$A$9:$D$314,4,FALSE)*$K$321,0)</f>
        <v>445660</v>
      </c>
      <c r="L80" s="147">
        <f>INDEX('Change in Proportion Layers'!$AF$8:$AF$320,MATCH('OPEB Amounts_Report'!A80,'Change in Proportion Layers'!$A$8:$A$320,0))</f>
        <v>180774</v>
      </c>
      <c r="M80" s="147">
        <f t="shared" si="4"/>
        <v>807089</v>
      </c>
      <c r="N80" s="221"/>
      <c r="O80" s="221">
        <f>ROUND(VLOOKUP(A80,'Contribution Allocation_Report'!$A$9:$D$314,4,FALSE)*'OPEB Amounts_Report'!$O$321,0)</f>
        <v>-165239</v>
      </c>
      <c r="P80" s="221">
        <f>INDEX('Change in Proportion Layers'!$AC$8:$AC$320,MATCH('OPEB Amounts_Report'!A80,'Change in Proportion Layers'!$A$8:$A$320,0))</f>
        <v>116614</v>
      </c>
      <c r="Q80" s="221">
        <f t="shared" si="5"/>
        <v>-48625</v>
      </c>
    </row>
    <row r="81" spans="1:17" ht="12" customHeight="1">
      <c r="A81" s="53">
        <v>5012</v>
      </c>
      <c r="B81" s="54" t="s">
        <v>70</v>
      </c>
      <c r="C81" s="148">
        <f>ROUND(VLOOKUP(A81,'Contribution Allocation_Report'!$A$9:$D$314,4,FALSE)*'OPEB Amounts_Report'!$C$321,0)</f>
        <v>15502669</v>
      </c>
      <c r="D81" s="148">
        <f>ROUND(VLOOKUP(A81,'Contribution Allocation_Report'!$A$9:$D$314,4,FALSE)*'OPEB Amounts_Report'!$D$321,0)</f>
        <v>94283</v>
      </c>
      <c r="E81" s="148">
        <f>ROUND(VLOOKUP(A81,'Contribution Allocation_Report'!$A$9:$D$314,4,FALSE)*'OPEB Amounts_Report'!$E$321,0)</f>
        <v>2230821</v>
      </c>
      <c r="F81" s="148">
        <f>INDEX('Change in Proportion Layers'!$AE$8:$AE$320,MATCH('OPEB Amounts_Report'!A81,'Change in Proportion Layers'!$A$8:$A$320,0))</f>
        <v>1557387</v>
      </c>
      <c r="G81" s="148">
        <f t="shared" si="3"/>
        <v>3882491</v>
      </c>
      <c r="H81" s="148"/>
      <c r="I81" s="148">
        <f>ROUND(VLOOKUP(A81,'Contribution Allocation_Report'!$A$9:$D$314,4,FALSE)*'OPEB Amounts_Report'!$I$321,0)</f>
        <v>2663748</v>
      </c>
      <c r="J81" s="148">
        <f>ROUND(VLOOKUP(A81,'Contribution Allocation_Report'!$A$9:$D$314,4,FALSE)*'OPEB Amounts_Report'!$J$321,0)</f>
        <v>234541</v>
      </c>
      <c r="K81" s="148">
        <f>ROUND(VLOOKUP(A81,'Contribution Allocation_Report'!$A$9:$D$314,4,FALSE)*$K$321,0)</f>
        <v>7149814</v>
      </c>
      <c r="L81" s="148">
        <f>INDEX('Change in Proportion Layers'!$AF$8:$AF$320,MATCH('OPEB Amounts_Report'!A81,'Change in Proportion Layers'!$A$8:$A$320,0))</f>
        <v>1745483</v>
      </c>
      <c r="M81" s="148">
        <f t="shared" si="4"/>
        <v>11793586</v>
      </c>
      <c r="N81" s="220"/>
      <c r="O81" s="220">
        <f>ROUND(VLOOKUP(A81,'Contribution Allocation_Report'!$A$9:$D$314,4,FALSE)*'OPEB Amounts_Report'!$O$321,0)</f>
        <v>-2650959</v>
      </c>
      <c r="P81" s="220">
        <f>INDEX('Change in Proportion Layers'!$AC$8:$AC$320,MATCH('OPEB Amounts_Report'!A81,'Change in Proportion Layers'!$A$8:$A$320,0))</f>
        <v>370638</v>
      </c>
      <c r="Q81" s="220">
        <f t="shared" si="5"/>
        <v>-2280321</v>
      </c>
    </row>
    <row r="82" spans="1:17" ht="12" customHeight="1">
      <c r="A82" s="51">
        <v>8024</v>
      </c>
      <c r="B82" s="55" t="s">
        <v>71</v>
      </c>
      <c r="C82" s="147">
        <f>ROUND(VLOOKUP(A82,'Contribution Allocation_Report'!$A$9:$D$314,4,FALSE)*'OPEB Amounts_Report'!$C$321,0)</f>
        <v>2512246</v>
      </c>
      <c r="D82" s="147">
        <f>ROUND(VLOOKUP(A82,'Contribution Allocation_Report'!$A$9:$D$314,4,FALSE)*'OPEB Amounts_Report'!$D$321,0)</f>
        <v>15279</v>
      </c>
      <c r="E82" s="147">
        <f>ROUND(VLOOKUP(A82,'Contribution Allocation_Report'!$A$9:$D$314,4,FALSE)*'OPEB Amounts_Report'!$E$321,0)</f>
        <v>361510</v>
      </c>
      <c r="F82" s="147">
        <f>INDEX('Change in Proportion Layers'!$AE$8:$AE$320,MATCH('OPEB Amounts_Report'!A82,'Change in Proportion Layers'!$A$8:$A$320,0))</f>
        <v>159980</v>
      </c>
      <c r="G82" s="147">
        <f t="shared" si="3"/>
        <v>536769</v>
      </c>
      <c r="H82" s="147"/>
      <c r="I82" s="147">
        <f>ROUND(VLOOKUP(A82,'Contribution Allocation_Report'!$A$9:$D$314,4,FALSE)*'OPEB Amounts_Report'!$I$321,0)</f>
        <v>431667</v>
      </c>
      <c r="J82" s="147">
        <f>ROUND(VLOOKUP(A82,'Contribution Allocation_Report'!$A$9:$D$314,4,FALSE)*'OPEB Amounts_Report'!$J$321,0)</f>
        <v>38008</v>
      </c>
      <c r="K82" s="147">
        <f>ROUND(VLOOKUP(A82,'Contribution Allocation_Report'!$A$9:$D$314,4,FALSE)*$K$321,0)</f>
        <v>1158645</v>
      </c>
      <c r="L82" s="147">
        <f>INDEX('Change in Proportion Layers'!$AF$8:$AF$320,MATCH('OPEB Amounts_Report'!A82,'Change in Proportion Layers'!$A$8:$A$320,0))</f>
        <v>1333652</v>
      </c>
      <c r="M82" s="147">
        <f t="shared" si="4"/>
        <v>2961972</v>
      </c>
      <c r="N82" s="221"/>
      <c r="O82" s="221">
        <f>ROUND(VLOOKUP(A82,'Contribution Allocation_Report'!$A$9:$D$314,4,FALSE)*'OPEB Amounts_Report'!$O$321,0)</f>
        <v>-429595</v>
      </c>
      <c r="P82" s="221">
        <f>INDEX('Change in Proportion Layers'!$AC$8:$AC$320,MATCH('OPEB Amounts_Report'!A82,'Change in Proportion Layers'!$A$8:$A$320,0))</f>
        <v>-477026</v>
      </c>
      <c r="Q82" s="221">
        <f t="shared" si="5"/>
        <v>-906621</v>
      </c>
    </row>
    <row r="83" spans="1:17" ht="12" customHeight="1">
      <c r="A83" s="53">
        <v>3050</v>
      </c>
      <c r="B83" s="54" t="s">
        <v>72</v>
      </c>
      <c r="C83" s="148">
        <f>ROUND(VLOOKUP(A83,'Contribution Allocation_Report'!$A$9:$D$314,4,FALSE)*'OPEB Amounts_Report'!$C$321,0)</f>
        <v>1028315</v>
      </c>
      <c r="D83" s="148">
        <f>ROUND(VLOOKUP(A83,'Contribution Allocation_Report'!$A$9:$D$314,4,FALSE)*'OPEB Amounts_Report'!$D$321,0)</f>
        <v>6254</v>
      </c>
      <c r="E83" s="148">
        <f>ROUND(VLOOKUP(A83,'Contribution Allocation_Report'!$A$9:$D$314,4,FALSE)*'OPEB Amounts_Report'!$E$321,0)</f>
        <v>147974</v>
      </c>
      <c r="F83" s="148">
        <f>INDEX('Change in Proportion Layers'!$AE$8:$AE$320,MATCH('OPEB Amounts_Report'!A83,'Change in Proportion Layers'!$A$8:$A$320,0))</f>
        <v>144262</v>
      </c>
      <c r="G83" s="148">
        <f t="shared" si="3"/>
        <v>298490</v>
      </c>
      <c r="H83" s="148"/>
      <c r="I83" s="148">
        <f>ROUND(VLOOKUP(A83,'Contribution Allocation_Report'!$A$9:$D$314,4,FALSE)*'OPEB Amounts_Report'!$I$321,0)</f>
        <v>176690</v>
      </c>
      <c r="J83" s="148">
        <f>ROUND(VLOOKUP(A83,'Contribution Allocation_Report'!$A$9:$D$314,4,FALSE)*'OPEB Amounts_Report'!$J$321,0)</f>
        <v>15557</v>
      </c>
      <c r="K83" s="148">
        <f>ROUND(VLOOKUP(A83,'Contribution Allocation_Report'!$A$9:$D$314,4,FALSE)*$K$321,0)</f>
        <v>474258</v>
      </c>
      <c r="L83" s="148">
        <f>INDEX('Change in Proportion Layers'!$AF$8:$AF$320,MATCH('OPEB Amounts_Report'!A83,'Change in Proportion Layers'!$A$8:$A$320,0))</f>
        <v>244628</v>
      </c>
      <c r="M83" s="148">
        <f t="shared" si="4"/>
        <v>911133</v>
      </c>
      <c r="N83" s="220"/>
      <c r="O83" s="220">
        <f>ROUND(VLOOKUP(A83,'Contribution Allocation_Report'!$A$9:$D$314,4,FALSE)*'OPEB Amounts_Report'!$O$321,0)</f>
        <v>-175842</v>
      </c>
      <c r="P83" s="220">
        <f>INDEX('Change in Proportion Layers'!$AC$8:$AC$320,MATCH('OPEB Amounts_Report'!A83,'Change in Proportion Layers'!$A$8:$A$320,0))</f>
        <v>-36214</v>
      </c>
      <c r="Q83" s="220">
        <f t="shared" si="5"/>
        <v>-212056</v>
      </c>
    </row>
    <row r="84" spans="1:17" ht="12" customHeight="1">
      <c r="A84" s="51">
        <v>2421</v>
      </c>
      <c r="B84" s="55" t="s">
        <v>73</v>
      </c>
      <c r="C84" s="147">
        <f>ROUND(VLOOKUP(A84,'Contribution Allocation_Report'!$A$9:$D$314,4,FALSE)*'OPEB Amounts_Report'!$C$321,0)</f>
        <v>404880</v>
      </c>
      <c r="D84" s="147">
        <f>ROUND(VLOOKUP(A84,'Contribution Allocation_Report'!$A$9:$D$314,4,FALSE)*'OPEB Amounts_Report'!$D$321,0)</f>
        <v>2462</v>
      </c>
      <c r="E84" s="147">
        <f>ROUND(VLOOKUP(A84,'Contribution Allocation_Report'!$A$9:$D$314,4,FALSE)*'OPEB Amounts_Report'!$E$321,0)</f>
        <v>58262</v>
      </c>
      <c r="F84" s="147">
        <f>INDEX('Change in Proportion Layers'!$AE$8:$AE$320,MATCH('OPEB Amounts_Report'!A84,'Change in Proportion Layers'!$A$8:$A$320,0))</f>
        <v>108693</v>
      </c>
      <c r="G84" s="147">
        <f t="shared" si="3"/>
        <v>169417</v>
      </c>
      <c r="H84" s="147"/>
      <c r="I84" s="147">
        <f>ROUND(VLOOKUP(A84,'Contribution Allocation_Report'!$A$9:$D$314,4,FALSE)*'OPEB Amounts_Report'!$I$321,0)</f>
        <v>69568</v>
      </c>
      <c r="J84" s="147">
        <f>ROUND(VLOOKUP(A84,'Contribution Allocation_Report'!$A$9:$D$314,4,FALSE)*'OPEB Amounts_Report'!$J$321,0)</f>
        <v>6125</v>
      </c>
      <c r="K84" s="147">
        <f>ROUND(VLOOKUP(A84,'Contribution Allocation_Report'!$A$9:$D$314,4,FALSE)*$K$321,0)</f>
        <v>186730</v>
      </c>
      <c r="L84" s="147">
        <f>INDEX('Change in Proportion Layers'!$AF$8:$AF$320,MATCH('OPEB Amounts_Report'!A84,'Change in Proportion Layers'!$A$8:$A$320,0))</f>
        <v>120684</v>
      </c>
      <c r="M84" s="147">
        <f t="shared" si="4"/>
        <v>383107</v>
      </c>
      <c r="N84" s="221"/>
      <c r="O84" s="221">
        <f>ROUND(VLOOKUP(A84,'Contribution Allocation_Report'!$A$9:$D$314,4,FALSE)*'OPEB Amounts_Report'!$O$321,0)</f>
        <v>-69234</v>
      </c>
      <c r="P84" s="221">
        <f>INDEX('Change in Proportion Layers'!$AC$8:$AC$320,MATCH('OPEB Amounts_Report'!A84,'Change in Proportion Layers'!$A$8:$A$320,0))</f>
        <v>6204</v>
      </c>
      <c r="Q84" s="221">
        <f t="shared" si="5"/>
        <v>-63030</v>
      </c>
    </row>
    <row r="85" spans="1:17" ht="12" customHeight="1">
      <c r="A85" s="53">
        <v>26079</v>
      </c>
      <c r="B85" s="54" t="s">
        <v>74</v>
      </c>
      <c r="C85" s="148">
        <f>ROUND(VLOOKUP(A85,'Contribution Allocation_Report'!$A$9:$D$314,4,FALSE)*'OPEB Amounts_Report'!$C$321,0)</f>
        <v>405649</v>
      </c>
      <c r="D85" s="148">
        <f>ROUND(VLOOKUP(A85,'Contribution Allocation_Report'!$A$9:$D$314,4,FALSE)*'OPEB Amounts_Report'!$D$321,0)</f>
        <v>2467</v>
      </c>
      <c r="E85" s="148">
        <f>ROUND(VLOOKUP(A85,'Contribution Allocation_Report'!$A$9:$D$314,4,FALSE)*'OPEB Amounts_Report'!$E$321,0)</f>
        <v>58373</v>
      </c>
      <c r="F85" s="148">
        <f>INDEX('Change in Proportion Layers'!$AE$8:$AE$320,MATCH('OPEB Amounts_Report'!A85,'Change in Proportion Layers'!$A$8:$A$320,0))</f>
        <v>81015</v>
      </c>
      <c r="G85" s="148">
        <f t="shared" si="3"/>
        <v>141855</v>
      </c>
      <c r="H85" s="148"/>
      <c r="I85" s="148">
        <f>ROUND(VLOOKUP(A85,'Contribution Allocation_Report'!$A$9:$D$314,4,FALSE)*'OPEB Amounts_Report'!$I$321,0)</f>
        <v>69701</v>
      </c>
      <c r="J85" s="148">
        <f>ROUND(VLOOKUP(A85,'Contribution Allocation_Report'!$A$9:$D$314,4,FALSE)*'OPEB Amounts_Report'!$J$321,0)</f>
        <v>6137</v>
      </c>
      <c r="K85" s="148">
        <f>ROUND(VLOOKUP(A85,'Contribution Allocation_Report'!$A$9:$D$314,4,FALSE)*$K$321,0)</f>
        <v>187085</v>
      </c>
      <c r="L85" s="148">
        <f>INDEX('Change in Proportion Layers'!$AF$8:$AF$320,MATCH('OPEB Amounts_Report'!A85,'Change in Proportion Layers'!$A$8:$A$320,0))</f>
        <v>6447</v>
      </c>
      <c r="M85" s="148">
        <f t="shared" si="4"/>
        <v>269370</v>
      </c>
      <c r="N85" s="220"/>
      <c r="O85" s="220">
        <f>ROUND(VLOOKUP(A85,'Contribution Allocation_Report'!$A$9:$D$314,4,FALSE)*'OPEB Amounts_Report'!$O$321,0)</f>
        <v>-69366</v>
      </c>
      <c r="P85" s="220">
        <f>INDEX('Change in Proportion Layers'!$AC$8:$AC$320,MATCH('OPEB Amounts_Report'!A85,'Change in Proportion Layers'!$A$8:$A$320,0))</f>
        <v>18052</v>
      </c>
      <c r="Q85" s="220">
        <f t="shared" si="5"/>
        <v>-51314</v>
      </c>
    </row>
    <row r="86" spans="1:17" ht="12" customHeight="1">
      <c r="A86" s="51">
        <v>2363</v>
      </c>
      <c r="B86" s="55" t="s">
        <v>75</v>
      </c>
      <c r="C86" s="147">
        <f>ROUND(VLOOKUP(A86,'Contribution Allocation_Report'!$A$9:$D$314,4,FALSE)*'OPEB Amounts_Report'!$C$321,0)</f>
        <v>439867</v>
      </c>
      <c r="D86" s="147">
        <f>ROUND(VLOOKUP(A86,'Contribution Allocation_Report'!$A$9:$D$314,4,FALSE)*'OPEB Amounts_Report'!$D$321,0)</f>
        <v>2675</v>
      </c>
      <c r="E86" s="147">
        <f>ROUND(VLOOKUP(A86,'Contribution Allocation_Report'!$A$9:$D$314,4,FALSE)*'OPEB Amounts_Report'!$E$321,0)</f>
        <v>63296</v>
      </c>
      <c r="F86" s="147">
        <f>INDEX('Change in Proportion Layers'!$AE$8:$AE$320,MATCH('OPEB Amounts_Report'!A86,'Change in Proportion Layers'!$A$8:$A$320,0))</f>
        <v>21649</v>
      </c>
      <c r="G86" s="147">
        <f t="shared" si="3"/>
        <v>87620</v>
      </c>
      <c r="H86" s="147"/>
      <c r="I86" s="147">
        <f>ROUND(VLOOKUP(A86,'Contribution Allocation_Report'!$A$9:$D$314,4,FALSE)*'OPEB Amounts_Report'!$I$321,0)</f>
        <v>75580</v>
      </c>
      <c r="J86" s="147">
        <f>ROUND(VLOOKUP(A86,'Contribution Allocation_Report'!$A$9:$D$314,4,FALSE)*'OPEB Amounts_Report'!$J$321,0)</f>
        <v>6655</v>
      </c>
      <c r="K86" s="147">
        <f>ROUND(VLOOKUP(A86,'Contribution Allocation_Report'!$A$9:$D$314,4,FALSE)*$K$321,0)</f>
        <v>202866</v>
      </c>
      <c r="L86" s="147">
        <f>INDEX('Change in Proportion Layers'!$AF$8:$AF$320,MATCH('OPEB Amounts_Report'!A86,'Change in Proportion Layers'!$A$8:$A$320,0))</f>
        <v>45186</v>
      </c>
      <c r="M86" s="147">
        <f t="shared" si="4"/>
        <v>330287</v>
      </c>
      <c r="N86" s="221"/>
      <c r="O86" s="221">
        <f>ROUND(VLOOKUP(A86,'Contribution Allocation_Report'!$A$9:$D$314,4,FALSE)*'OPEB Amounts_Report'!$O$321,0)</f>
        <v>-75217</v>
      </c>
      <c r="P86" s="221">
        <f>INDEX('Change in Proportion Layers'!$AC$8:$AC$320,MATCH('OPEB Amounts_Report'!A86,'Change in Proportion Layers'!$A$8:$A$320,0))</f>
        <v>-1966</v>
      </c>
      <c r="Q86" s="221">
        <f t="shared" si="5"/>
        <v>-77183</v>
      </c>
    </row>
    <row r="87" spans="1:17" ht="12" customHeight="1">
      <c r="A87" s="53">
        <v>2364</v>
      </c>
      <c r="B87" s="54" t="s">
        <v>76</v>
      </c>
      <c r="C87" s="148">
        <f>ROUND(VLOOKUP(A87,'Contribution Allocation_Report'!$A$9:$D$314,4,FALSE)*'OPEB Amounts_Report'!$C$321,0)</f>
        <v>1527837</v>
      </c>
      <c r="D87" s="148">
        <f>ROUND(VLOOKUP(A87,'Contribution Allocation_Report'!$A$9:$D$314,4,FALSE)*'OPEB Amounts_Report'!$D$321,0)</f>
        <v>9292</v>
      </c>
      <c r="E87" s="148">
        <f>ROUND(VLOOKUP(A87,'Contribution Allocation_Report'!$A$9:$D$314,4,FALSE)*'OPEB Amounts_Report'!$E$321,0)</f>
        <v>219855</v>
      </c>
      <c r="F87" s="148">
        <f>INDEX('Change in Proportion Layers'!$AE$8:$AE$320,MATCH('OPEB Amounts_Report'!A87,'Change in Proportion Layers'!$A$8:$A$320,0))</f>
        <v>411218</v>
      </c>
      <c r="G87" s="148">
        <f t="shared" si="3"/>
        <v>640365</v>
      </c>
      <c r="H87" s="148"/>
      <c r="I87" s="148">
        <f>ROUND(VLOOKUP(A87,'Contribution Allocation_Report'!$A$9:$D$314,4,FALSE)*'OPEB Amounts_Report'!$I$321,0)</f>
        <v>262521</v>
      </c>
      <c r="J87" s="148">
        <f>ROUND(VLOOKUP(A87,'Contribution Allocation_Report'!$A$9:$D$314,4,FALSE)*'OPEB Amounts_Report'!$J$321,0)</f>
        <v>23115</v>
      </c>
      <c r="K87" s="148">
        <f>ROUND(VLOOKUP(A87,'Contribution Allocation_Report'!$A$9:$D$314,4,FALSE)*$K$321,0)</f>
        <v>704637</v>
      </c>
      <c r="L87" s="148">
        <f>INDEX('Change in Proportion Layers'!$AF$8:$AF$320,MATCH('OPEB Amounts_Report'!A87,'Change in Proportion Layers'!$A$8:$A$320,0))</f>
        <v>0</v>
      </c>
      <c r="M87" s="148">
        <f t="shared" si="4"/>
        <v>990273</v>
      </c>
      <c r="N87" s="220"/>
      <c r="O87" s="220">
        <f>ROUND(VLOOKUP(A87,'Contribution Allocation_Report'!$A$9:$D$314,4,FALSE)*'OPEB Amounts_Report'!$O$321,0)</f>
        <v>-261260</v>
      </c>
      <c r="P87" s="220">
        <f>INDEX('Change in Proportion Layers'!$AC$8:$AC$320,MATCH('OPEB Amounts_Report'!A87,'Change in Proportion Layers'!$A$8:$A$320,0))</f>
        <v>221290</v>
      </c>
      <c r="Q87" s="220">
        <f t="shared" si="5"/>
        <v>-39970</v>
      </c>
    </row>
    <row r="88" spans="1:17" ht="12" customHeight="1">
      <c r="A88" s="51">
        <v>25319</v>
      </c>
      <c r="B88" s="55" t="s">
        <v>77</v>
      </c>
      <c r="C88" s="147">
        <f>ROUND(VLOOKUP(A88,'Contribution Allocation_Report'!$A$9:$D$314,4,FALSE)*'OPEB Amounts_Report'!$C$321,0)</f>
        <v>353214</v>
      </c>
      <c r="D88" s="147">
        <f>ROUND(VLOOKUP(A88,'Contribution Allocation_Report'!$A$9:$D$314,4,FALSE)*'OPEB Amounts_Report'!$D$321,0)</f>
        <v>2148</v>
      </c>
      <c r="E88" s="147">
        <f>ROUND(VLOOKUP(A88,'Contribution Allocation_Report'!$A$9:$D$314,4,FALSE)*'OPEB Amounts_Report'!$E$321,0)</f>
        <v>50827</v>
      </c>
      <c r="F88" s="147">
        <f>INDEX('Change in Proportion Layers'!$AE$8:$AE$320,MATCH('OPEB Amounts_Report'!A88,'Change in Proportion Layers'!$A$8:$A$320,0))</f>
        <v>95922</v>
      </c>
      <c r="G88" s="147">
        <f t="shared" si="3"/>
        <v>148897</v>
      </c>
      <c r="H88" s="147"/>
      <c r="I88" s="147">
        <f>ROUND(VLOOKUP(A88,'Contribution Allocation_Report'!$A$9:$D$314,4,FALSE)*'OPEB Amounts_Report'!$I$321,0)</f>
        <v>60691</v>
      </c>
      <c r="J88" s="147">
        <f>ROUND(VLOOKUP(A88,'Contribution Allocation_Report'!$A$9:$D$314,4,FALSE)*'OPEB Amounts_Report'!$J$321,0)</f>
        <v>5344</v>
      </c>
      <c r="K88" s="147">
        <f>ROUND(VLOOKUP(A88,'Contribution Allocation_Report'!$A$9:$D$314,4,FALSE)*$K$321,0)</f>
        <v>162902</v>
      </c>
      <c r="L88" s="147">
        <f>INDEX('Change in Proportion Layers'!$AF$8:$AF$320,MATCH('OPEB Amounts_Report'!A88,'Change in Proportion Layers'!$A$8:$A$320,0))</f>
        <v>78643</v>
      </c>
      <c r="M88" s="147">
        <f t="shared" si="4"/>
        <v>307580</v>
      </c>
      <c r="N88" s="221"/>
      <c r="O88" s="221">
        <f>ROUND(VLOOKUP(A88,'Contribution Allocation_Report'!$A$9:$D$314,4,FALSE)*'OPEB Amounts_Report'!$O$321,0)</f>
        <v>-60400</v>
      </c>
      <c r="P88" s="221">
        <f>INDEX('Change in Proportion Layers'!$AC$8:$AC$320,MATCH('OPEB Amounts_Report'!A88,'Change in Proportion Layers'!$A$8:$A$320,0))</f>
        <v>13642</v>
      </c>
      <c r="Q88" s="221">
        <f t="shared" si="5"/>
        <v>-46758</v>
      </c>
    </row>
    <row r="89" spans="1:17" ht="12" customHeight="1">
      <c r="A89" s="53">
        <v>29087</v>
      </c>
      <c r="B89" s="54" t="s">
        <v>78</v>
      </c>
      <c r="C89" s="148">
        <f>ROUND(VLOOKUP(A89,'Contribution Allocation_Report'!$A$9:$D$314,4,FALSE)*'OPEB Amounts_Report'!$C$321,0)</f>
        <v>2998797</v>
      </c>
      <c r="D89" s="148">
        <f>ROUND(VLOOKUP(A89,'Contribution Allocation_Report'!$A$9:$D$314,4,FALSE)*'OPEB Amounts_Report'!$D$321,0)</f>
        <v>18238</v>
      </c>
      <c r="E89" s="148">
        <f>ROUND(VLOOKUP(A89,'Contribution Allocation_Report'!$A$9:$D$314,4,FALSE)*'OPEB Amounts_Report'!$E$321,0)</f>
        <v>431524</v>
      </c>
      <c r="F89" s="148">
        <f>INDEX('Change in Proportion Layers'!$AE$8:$AE$320,MATCH('OPEB Amounts_Report'!A89,'Change in Proportion Layers'!$A$8:$A$320,0))</f>
        <v>1042878</v>
      </c>
      <c r="G89" s="148">
        <f t="shared" si="3"/>
        <v>1492640</v>
      </c>
      <c r="H89" s="148"/>
      <c r="I89" s="148">
        <f>ROUND(VLOOKUP(A89,'Contribution Allocation_Report'!$A$9:$D$314,4,FALSE)*'OPEB Amounts_Report'!$I$321,0)</f>
        <v>515269</v>
      </c>
      <c r="J89" s="148">
        <f>ROUND(VLOOKUP(A89,'Contribution Allocation_Report'!$A$9:$D$314,4,FALSE)*'OPEB Amounts_Report'!$J$321,0)</f>
        <v>45369</v>
      </c>
      <c r="K89" s="148">
        <f>ROUND(VLOOKUP(A89,'Contribution Allocation_Report'!$A$9:$D$314,4,FALSE)*$K$321,0)</f>
        <v>1383042</v>
      </c>
      <c r="L89" s="148">
        <f>INDEX('Change in Proportion Layers'!$AF$8:$AF$320,MATCH('OPEB Amounts_Report'!A89,'Change in Proportion Layers'!$A$8:$A$320,0))</f>
        <v>39128</v>
      </c>
      <c r="M89" s="148">
        <f t="shared" si="4"/>
        <v>1982808</v>
      </c>
      <c r="N89" s="220"/>
      <c r="O89" s="220">
        <f>ROUND(VLOOKUP(A89,'Contribution Allocation_Report'!$A$9:$D$314,4,FALSE)*'OPEB Amounts_Report'!$O$321,0)</f>
        <v>-512795</v>
      </c>
      <c r="P89" s="220">
        <f>INDEX('Change in Proportion Layers'!$AC$8:$AC$320,MATCH('OPEB Amounts_Report'!A89,'Change in Proportion Layers'!$A$8:$A$320,0))</f>
        <v>517033</v>
      </c>
      <c r="Q89" s="220">
        <f t="shared" si="5"/>
        <v>4238</v>
      </c>
    </row>
    <row r="90" spans="1:17" ht="12" customHeight="1">
      <c r="A90" s="51">
        <v>3060</v>
      </c>
      <c r="B90" s="55" t="s">
        <v>79</v>
      </c>
      <c r="C90" s="147">
        <f>ROUND(VLOOKUP(A90,'Contribution Allocation_Report'!$A$9:$D$314,4,FALSE)*'OPEB Amounts_Report'!$C$321,0)</f>
        <v>1720405</v>
      </c>
      <c r="D90" s="147">
        <f>ROUND(VLOOKUP(A90,'Contribution Allocation_Report'!$A$9:$D$314,4,FALSE)*'OPEB Amounts_Report'!$D$321,0)</f>
        <v>10463</v>
      </c>
      <c r="E90" s="147">
        <f>ROUND(VLOOKUP(A90,'Contribution Allocation_Report'!$A$9:$D$314,4,FALSE)*'OPEB Amounts_Report'!$E$321,0)</f>
        <v>247565</v>
      </c>
      <c r="F90" s="147">
        <f>INDEX('Change in Proportion Layers'!$AE$8:$AE$320,MATCH('OPEB Amounts_Report'!A90,'Change in Proportion Layers'!$A$8:$A$320,0))</f>
        <v>0</v>
      </c>
      <c r="G90" s="147">
        <f t="shared" si="3"/>
        <v>258028</v>
      </c>
      <c r="H90" s="147"/>
      <c r="I90" s="147">
        <f>ROUND(VLOOKUP(A90,'Contribution Allocation_Report'!$A$9:$D$314,4,FALSE)*'OPEB Amounts_Report'!$I$321,0)</f>
        <v>295609</v>
      </c>
      <c r="J90" s="147">
        <f>ROUND(VLOOKUP(A90,'Contribution Allocation_Report'!$A$9:$D$314,4,FALSE)*'OPEB Amounts_Report'!$J$321,0)</f>
        <v>26028</v>
      </c>
      <c r="K90" s="147">
        <f>ROUND(VLOOKUP(A90,'Contribution Allocation_Report'!$A$9:$D$314,4,FALSE)*$K$321,0)</f>
        <v>793449</v>
      </c>
      <c r="L90" s="147">
        <f>INDEX('Change in Proportion Layers'!$AF$8:$AF$320,MATCH('OPEB Amounts_Report'!A90,'Change in Proportion Layers'!$A$8:$A$320,0))</f>
        <v>241356</v>
      </c>
      <c r="M90" s="147">
        <f t="shared" si="4"/>
        <v>1356442</v>
      </c>
      <c r="N90" s="221"/>
      <c r="O90" s="221">
        <f>ROUND(VLOOKUP(A90,'Contribution Allocation_Report'!$A$9:$D$314,4,FALSE)*'OPEB Amounts_Report'!$O$321,0)</f>
        <v>-294190</v>
      </c>
      <c r="P90" s="221">
        <f>INDEX('Change in Proportion Layers'!$AC$8:$AC$320,MATCH('OPEB Amounts_Report'!A90,'Change in Proportion Layers'!$A$8:$A$320,0))</f>
        <v>-144640</v>
      </c>
      <c r="Q90" s="221">
        <f t="shared" si="5"/>
        <v>-438830</v>
      </c>
    </row>
    <row r="91" spans="1:17" ht="12" customHeight="1">
      <c r="A91" s="53">
        <v>19301</v>
      </c>
      <c r="B91" s="54" t="s">
        <v>80</v>
      </c>
      <c r="C91" s="148">
        <f>ROUND(VLOOKUP(A91,'Contribution Allocation_Report'!$A$9:$D$314,4,FALSE)*'OPEB Amounts_Report'!$C$321,0)</f>
        <v>310455</v>
      </c>
      <c r="D91" s="148">
        <f>ROUND(VLOOKUP(A91,'Contribution Allocation_Report'!$A$9:$D$314,4,FALSE)*'OPEB Amounts_Report'!$D$321,0)</f>
        <v>1888</v>
      </c>
      <c r="E91" s="148">
        <f>ROUND(VLOOKUP(A91,'Contribution Allocation_Report'!$A$9:$D$314,4,FALSE)*'OPEB Amounts_Report'!$E$321,0)</f>
        <v>44674</v>
      </c>
      <c r="F91" s="148">
        <f>INDEX('Change in Proportion Layers'!$AE$8:$AE$320,MATCH('OPEB Amounts_Report'!A91,'Change in Proportion Layers'!$A$8:$A$320,0))</f>
        <v>66555</v>
      </c>
      <c r="G91" s="148">
        <f t="shared" si="3"/>
        <v>113117</v>
      </c>
      <c r="H91" s="148"/>
      <c r="I91" s="148">
        <f>ROUND(VLOOKUP(A91,'Contribution Allocation_Report'!$A$9:$D$314,4,FALSE)*'OPEB Amounts_Report'!$I$321,0)</f>
        <v>53344</v>
      </c>
      <c r="J91" s="148">
        <f>ROUND(VLOOKUP(A91,'Contribution Allocation_Report'!$A$9:$D$314,4,FALSE)*'OPEB Amounts_Report'!$J$321,0)</f>
        <v>4697</v>
      </c>
      <c r="K91" s="148">
        <f>ROUND(VLOOKUP(A91,'Contribution Allocation_Report'!$A$9:$D$314,4,FALSE)*$K$321,0)</f>
        <v>143182</v>
      </c>
      <c r="L91" s="148">
        <f>INDEX('Change in Proportion Layers'!$AF$8:$AF$320,MATCH('OPEB Amounts_Report'!A91,'Change in Proportion Layers'!$A$8:$A$320,0))</f>
        <v>46545</v>
      </c>
      <c r="M91" s="148">
        <f t="shared" si="4"/>
        <v>247768</v>
      </c>
      <c r="N91" s="220"/>
      <c r="O91" s="220">
        <f>ROUND(VLOOKUP(A91,'Contribution Allocation_Report'!$A$9:$D$314,4,FALSE)*'OPEB Amounts_Report'!$O$321,0)</f>
        <v>-53088</v>
      </c>
      <c r="P91" s="220">
        <f>INDEX('Change in Proportion Layers'!$AC$8:$AC$320,MATCH('OPEB Amounts_Report'!A91,'Change in Proportion Layers'!$A$8:$A$320,0))</f>
        <v>-10123</v>
      </c>
      <c r="Q91" s="220">
        <f t="shared" si="5"/>
        <v>-63211</v>
      </c>
    </row>
    <row r="92" spans="1:17" ht="12" customHeight="1">
      <c r="A92" s="51">
        <v>19059</v>
      </c>
      <c r="B92" s="55" t="s">
        <v>81</v>
      </c>
      <c r="C92" s="147">
        <f>ROUND(VLOOKUP(A92,'Contribution Allocation_Report'!$A$9:$D$314,4,FALSE)*'OPEB Amounts_Report'!$C$321,0)</f>
        <v>10701543</v>
      </c>
      <c r="D92" s="147">
        <f>ROUND(VLOOKUP(A92,'Contribution Allocation_Report'!$A$9:$D$314,4,FALSE)*'OPEB Amounts_Report'!$D$321,0)</f>
        <v>65084</v>
      </c>
      <c r="E92" s="147">
        <f>ROUND(VLOOKUP(A92,'Contribution Allocation_Report'!$A$9:$D$314,4,FALSE)*'OPEB Amounts_Report'!$E$321,0)</f>
        <v>1539943</v>
      </c>
      <c r="F92" s="147">
        <f>INDEX('Change in Proportion Layers'!$AE$8:$AE$320,MATCH('OPEB Amounts_Report'!A92,'Change in Proportion Layers'!$A$8:$A$320,0))</f>
        <v>858979</v>
      </c>
      <c r="G92" s="147">
        <f t="shared" si="3"/>
        <v>2464006</v>
      </c>
      <c r="H92" s="147"/>
      <c r="I92" s="147">
        <f>ROUND(VLOOKUP(A92,'Contribution Allocation_Report'!$A$9:$D$314,4,FALSE)*'OPEB Amounts_Report'!$I$321,0)</f>
        <v>1838794</v>
      </c>
      <c r="J92" s="147">
        <f>ROUND(VLOOKUP(A92,'Contribution Allocation_Report'!$A$9:$D$314,4,FALSE)*'OPEB Amounts_Report'!$J$321,0)</f>
        <v>161905</v>
      </c>
      <c r="K92" s="147">
        <f>ROUND(VLOOKUP(A92,'Contribution Allocation_Report'!$A$9:$D$314,4,FALSE)*$K$321,0)</f>
        <v>4935540</v>
      </c>
      <c r="L92" s="147">
        <f>INDEX('Change in Proportion Layers'!$AF$8:$AF$320,MATCH('OPEB Amounts_Report'!A92,'Change in Proportion Layers'!$A$8:$A$320,0))</f>
        <v>1609729</v>
      </c>
      <c r="M92" s="147">
        <f t="shared" si="4"/>
        <v>8545968</v>
      </c>
      <c r="N92" s="221"/>
      <c r="O92" s="221">
        <f>ROUND(VLOOKUP(A92,'Contribution Allocation_Report'!$A$9:$D$314,4,FALSE)*'OPEB Amounts_Report'!$O$321,0)</f>
        <v>-1829966</v>
      </c>
      <c r="P92" s="221">
        <f>INDEX('Change in Proportion Layers'!$AC$8:$AC$320,MATCH('OPEB Amounts_Report'!A92,'Change in Proportion Layers'!$A$8:$A$320,0))</f>
        <v>328529</v>
      </c>
      <c r="Q92" s="221">
        <f t="shared" si="5"/>
        <v>-1501437</v>
      </c>
    </row>
    <row r="93" spans="1:17" ht="12" customHeight="1">
      <c r="A93" s="53">
        <v>18057</v>
      </c>
      <c r="B93" s="54" t="s">
        <v>82</v>
      </c>
      <c r="C93" s="148">
        <f>ROUND(VLOOKUP(A93,'Contribution Allocation_Report'!$A$9:$D$314,4,FALSE)*'OPEB Amounts_Report'!$C$321,0)</f>
        <v>459094</v>
      </c>
      <c r="D93" s="148">
        <f>ROUND(VLOOKUP(A93,'Contribution Allocation_Report'!$A$9:$D$314,4,FALSE)*'OPEB Amounts_Report'!$D$321,0)</f>
        <v>2792</v>
      </c>
      <c r="E93" s="148">
        <f>ROUND(VLOOKUP(A93,'Contribution Allocation_Report'!$A$9:$D$314,4,FALSE)*'OPEB Amounts_Report'!$E$321,0)</f>
        <v>66063</v>
      </c>
      <c r="F93" s="148">
        <f>INDEX('Change in Proportion Layers'!$AE$8:$AE$320,MATCH('OPEB Amounts_Report'!A93,'Change in Proportion Layers'!$A$8:$A$320,0))</f>
        <v>80105</v>
      </c>
      <c r="G93" s="148">
        <f t="shared" si="3"/>
        <v>148960</v>
      </c>
      <c r="H93" s="148"/>
      <c r="I93" s="148">
        <f>ROUND(VLOOKUP(A93,'Contribution Allocation_Report'!$A$9:$D$314,4,FALSE)*'OPEB Amounts_Report'!$I$321,0)</f>
        <v>78884</v>
      </c>
      <c r="J93" s="148">
        <f>ROUND(VLOOKUP(A93,'Contribution Allocation_Report'!$A$9:$D$314,4,FALSE)*'OPEB Amounts_Report'!$J$321,0)</f>
        <v>6946</v>
      </c>
      <c r="K93" s="148">
        <f>ROUND(VLOOKUP(A93,'Contribution Allocation_Report'!$A$9:$D$314,4,FALSE)*$K$321,0)</f>
        <v>211734</v>
      </c>
      <c r="L93" s="148">
        <f>INDEX('Change in Proportion Layers'!$AF$8:$AF$320,MATCH('OPEB Amounts_Report'!A93,'Change in Proportion Layers'!$A$8:$A$320,0))</f>
        <v>7434</v>
      </c>
      <c r="M93" s="148">
        <f t="shared" si="4"/>
        <v>304998</v>
      </c>
      <c r="N93" s="220"/>
      <c r="O93" s="220">
        <f>ROUND(VLOOKUP(A93,'Contribution Allocation_Report'!$A$9:$D$314,4,FALSE)*'OPEB Amounts_Report'!$O$321,0)</f>
        <v>-78505</v>
      </c>
      <c r="P93" s="220">
        <f>INDEX('Change in Proportion Layers'!$AC$8:$AC$320,MATCH('OPEB Amounts_Report'!A93,'Change in Proportion Layers'!$A$8:$A$320,0))</f>
        <v>20635</v>
      </c>
      <c r="Q93" s="220">
        <f t="shared" si="5"/>
        <v>-57870</v>
      </c>
    </row>
    <row r="94" spans="1:17" ht="12" customHeight="1">
      <c r="A94" s="51">
        <v>4008</v>
      </c>
      <c r="B94" s="55" t="s">
        <v>83</v>
      </c>
      <c r="C94" s="147">
        <f>ROUND(VLOOKUP(A94,'Contribution Allocation_Report'!$A$9:$D$314,4,FALSE)*'OPEB Amounts_Report'!$C$321,0)</f>
        <v>1767549</v>
      </c>
      <c r="D94" s="147">
        <f>ROUND(VLOOKUP(A94,'Contribution Allocation_Report'!$A$9:$D$314,4,FALSE)*'OPEB Amounts_Report'!$D$321,0)</f>
        <v>10750</v>
      </c>
      <c r="E94" s="147">
        <f>ROUND(VLOOKUP(A94,'Contribution Allocation_Report'!$A$9:$D$314,4,FALSE)*'OPEB Amounts_Report'!$E$321,0)</f>
        <v>254349</v>
      </c>
      <c r="F94" s="147">
        <f>INDEX('Change in Proportion Layers'!$AE$8:$AE$320,MATCH('OPEB Amounts_Report'!A94,'Change in Proportion Layers'!$A$8:$A$320,0))</f>
        <v>295182</v>
      </c>
      <c r="G94" s="147">
        <f t="shared" si="3"/>
        <v>560281</v>
      </c>
      <c r="H94" s="147"/>
      <c r="I94" s="147">
        <f>ROUND(VLOOKUP(A94,'Contribution Allocation_Report'!$A$9:$D$314,4,FALSE)*'OPEB Amounts_Report'!$I$321,0)</f>
        <v>303709</v>
      </c>
      <c r="J94" s="147">
        <f>ROUND(VLOOKUP(A94,'Contribution Allocation_Report'!$A$9:$D$314,4,FALSE)*'OPEB Amounts_Report'!$J$321,0)</f>
        <v>26741</v>
      </c>
      <c r="K94" s="147">
        <f>ROUND(VLOOKUP(A94,'Contribution Allocation_Report'!$A$9:$D$314,4,FALSE)*$K$321,0)</f>
        <v>815192</v>
      </c>
      <c r="L94" s="147">
        <f>INDEX('Change in Proportion Layers'!$AF$8:$AF$320,MATCH('OPEB Amounts_Report'!A94,'Change in Proportion Layers'!$A$8:$A$320,0))</f>
        <v>353913</v>
      </c>
      <c r="M94" s="147">
        <f t="shared" si="4"/>
        <v>1499555</v>
      </c>
      <c r="N94" s="221"/>
      <c r="O94" s="221">
        <f>ROUND(VLOOKUP(A94,'Contribution Allocation_Report'!$A$9:$D$314,4,FALSE)*'OPEB Amounts_Report'!$O$321,0)</f>
        <v>-302251</v>
      </c>
      <c r="P94" s="221">
        <f>INDEX('Change in Proportion Layers'!$AC$8:$AC$320,MATCH('OPEB Amounts_Report'!A94,'Change in Proportion Layers'!$A$8:$A$320,0))</f>
        <v>-15346</v>
      </c>
      <c r="Q94" s="221">
        <f t="shared" si="5"/>
        <v>-317597</v>
      </c>
    </row>
    <row r="95" spans="1:17" ht="12" customHeight="1">
      <c r="A95" s="53">
        <v>2350</v>
      </c>
      <c r="B95" s="54" t="s">
        <v>84</v>
      </c>
      <c r="C95" s="148">
        <f>ROUND(VLOOKUP(A95,'Contribution Allocation_Report'!$A$9:$D$314,4,FALSE)*'OPEB Amounts_Report'!$C$321,0)</f>
        <v>520896</v>
      </c>
      <c r="D95" s="148">
        <f>ROUND(VLOOKUP(A95,'Contribution Allocation_Report'!$A$9:$D$314,4,FALSE)*'OPEB Amounts_Report'!$D$321,0)</f>
        <v>3168</v>
      </c>
      <c r="E95" s="148">
        <f>ROUND(VLOOKUP(A95,'Contribution Allocation_Report'!$A$9:$D$314,4,FALSE)*'OPEB Amounts_Report'!$E$321,0)</f>
        <v>74956</v>
      </c>
      <c r="F95" s="148">
        <f>INDEX('Change in Proportion Layers'!$AE$8:$AE$320,MATCH('OPEB Amounts_Report'!A95,'Change in Proportion Layers'!$A$8:$A$320,0))</f>
        <v>83262</v>
      </c>
      <c r="G95" s="148">
        <f t="shared" si="3"/>
        <v>161386</v>
      </c>
      <c r="H95" s="148"/>
      <c r="I95" s="148">
        <f>ROUND(VLOOKUP(A95,'Contribution Allocation_Report'!$A$9:$D$314,4,FALSE)*'OPEB Amounts_Report'!$I$321,0)</f>
        <v>89503</v>
      </c>
      <c r="J95" s="148">
        <f>ROUND(VLOOKUP(A95,'Contribution Allocation_Report'!$A$9:$D$314,4,FALSE)*'OPEB Amounts_Report'!$J$321,0)</f>
        <v>7881</v>
      </c>
      <c r="K95" s="148">
        <f>ROUND(VLOOKUP(A95,'Contribution Allocation_Report'!$A$9:$D$314,4,FALSE)*$K$321,0)</f>
        <v>240237</v>
      </c>
      <c r="L95" s="148">
        <f>INDEX('Change in Proportion Layers'!$AF$8:$AF$320,MATCH('OPEB Amounts_Report'!A95,'Change in Proportion Layers'!$A$8:$A$320,0))</f>
        <v>189728</v>
      </c>
      <c r="M95" s="148">
        <f t="shared" si="4"/>
        <v>527349</v>
      </c>
      <c r="N95" s="220"/>
      <c r="O95" s="220">
        <f>ROUND(VLOOKUP(A95,'Contribution Allocation_Report'!$A$9:$D$314,4,FALSE)*'OPEB Amounts_Report'!$O$321,0)</f>
        <v>-89073</v>
      </c>
      <c r="P95" s="220">
        <f>INDEX('Change in Proportion Layers'!$AC$8:$AC$320,MATCH('OPEB Amounts_Report'!A95,'Change in Proportion Layers'!$A$8:$A$320,0))</f>
        <v>22743</v>
      </c>
      <c r="Q95" s="220">
        <f t="shared" si="5"/>
        <v>-66330</v>
      </c>
    </row>
    <row r="96" spans="1:17" ht="12" customHeight="1">
      <c r="A96" s="51">
        <v>11117</v>
      </c>
      <c r="B96" s="55" t="s">
        <v>85</v>
      </c>
      <c r="C96" s="147">
        <f>ROUND(VLOOKUP(A96,'Contribution Allocation_Report'!$A$9:$D$314,4,FALSE)*'OPEB Amounts_Report'!$C$321,0)</f>
        <v>610947</v>
      </c>
      <c r="D96" s="147">
        <f>ROUND(VLOOKUP(A96,'Contribution Allocation_Report'!$A$9:$D$314,4,FALSE)*'OPEB Amounts_Report'!$D$321,0)</f>
        <v>3716</v>
      </c>
      <c r="E96" s="147">
        <f>ROUND(VLOOKUP(A96,'Contribution Allocation_Report'!$A$9:$D$314,4,FALSE)*'OPEB Amounts_Report'!$E$321,0)</f>
        <v>87915</v>
      </c>
      <c r="F96" s="147">
        <f>INDEX('Change in Proportion Layers'!$AE$8:$AE$320,MATCH('OPEB Amounts_Report'!A96,'Change in Proportion Layers'!$A$8:$A$320,0))</f>
        <v>57081</v>
      </c>
      <c r="G96" s="147">
        <f t="shared" si="3"/>
        <v>148712</v>
      </c>
      <c r="H96" s="147"/>
      <c r="I96" s="147">
        <f>ROUND(VLOOKUP(A96,'Contribution Allocation_Report'!$A$9:$D$314,4,FALSE)*'OPEB Amounts_Report'!$I$321,0)</f>
        <v>104976</v>
      </c>
      <c r="J96" s="147">
        <f>ROUND(VLOOKUP(A96,'Contribution Allocation_Report'!$A$9:$D$314,4,FALSE)*'OPEB Amounts_Report'!$J$321,0)</f>
        <v>9243</v>
      </c>
      <c r="K96" s="147">
        <f>ROUND(VLOOKUP(A96,'Contribution Allocation_Report'!$A$9:$D$314,4,FALSE)*$K$321,0)</f>
        <v>281768</v>
      </c>
      <c r="L96" s="147">
        <f>INDEX('Change in Proportion Layers'!$AF$8:$AF$320,MATCH('OPEB Amounts_Report'!A96,'Change in Proportion Layers'!$A$8:$A$320,0))</f>
        <v>108454</v>
      </c>
      <c r="M96" s="147">
        <f t="shared" si="4"/>
        <v>504441</v>
      </c>
      <c r="N96" s="221"/>
      <c r="O96" s="221">
        <f>ROUND(VLOOKUP(A96,'Contribution Allocation_Report'!$A$9:$D$314,4,FALSE)*'OPEB Amounts_Report'!$O$321,0)</f>
        <v>-104472</v>
      </c>
      <c r="P96" s="221">
        <f>INDEX('Change in Proportion Layers'!$AC$8:$AC$320,MATCH('OPEB Amounts_Report'!A96,'Change in Proportion Layers'!$A$8:$A$320,0))</f>
        <v>-20425</v>
      </c>
      <c r="Q96" s="221">
        <f t="shared" si="5"/>
        <v>-124897</v>
      </c>
    </row>
    <row r="97" spans="1:17" ht="12" customHeight="1">
      <c r="A97" s="53">
        <v>16359</v>
      </c>
      <c r="B97" s="54" t="s">
        <v>86</v>
      </c>
      <c r="C97" s="148">
        <f>ROUND(VLOOKUP(A97,'Contribution Allocation_Report'!$A$9:$D$314,4,FALSE)*'OPEB Amounts_Report'!$C$321,0)</f>
        <v>117416</v>
      </c>
      <c r="D97" s="148">
        <f>ROUND(VLOOKUP(A97,'Contribution Allocation_Report'!$A$9:$D$314,4,FALSE)*'OPEB Amounts_Report'!$D$321,0)</f>
        <v>714</v>
      </c>
      <c r="E97" s="148">
        <f>ROUND(VLOOKUP(A97,'Contribution Allocation_Report'!$A$9:$D$314,4,FALSE)*'OPEB Amounts_Report'!$E$321,0)</f>
        <v>16896</v>
      </c>
      <c r="F97" s="148">
        <f>INDEX('Change in Proportion Layers'!$AE$8:$AE$320,MATCH('OPEB Amounts_Report'!A97,'Change in Proportion Layers'!$A$8:$A$320,0))</f>
        <v>79120</v>
      </c>
      <c r="G97" s="148">
        <f t="shared" si="3"/>
        <v>96730</v>
      </c>
      <c r="H97" s="148"/>
      <c r="I97" s="148">
        <f>ROUND(VLOOKUP(A97,'Contribution Allocation_Report'!$A$9:$D$314,4,FALSE)*'OPEB Amounts_Report'!$I$321,0)</f>
        <v>20175</v>
      </c>
      <c r="J97" s="148">
        <f>ROUND(VLOOKUP(A97,'Contribution Allocation_Report'!$A$9:$D$314,4,FALSE)*'OPEB Amounts_Report'!$J$321,0)</f>
        <v>1776</v>
      </c>
      <c r="K97" s="148">
        <f>ROUND(VLOOKUP(A97,'Contribution Allocation_Report'!$A$9:$D$314,4,FALSE)*$K$321,0)</f>
        <v>54152</v>
      </c>
      <c r="L97" s="148">
        <f>INDEX('Change in Proportion Layers'!$AF$8:$AF$320,MATCH('OPEB Amounts_Report'!A97,'Change in Proportion Layers'!$A$8:$A$320,0))</f>
        <v>72649</v>
      </c>
      <c r="M97" s="148">
        <f t="shared" si="4"/>
        <v>148752</v>
      </c>
      <c r="N97" s="220"/>
      <c r="O97" s="220">
        <f>ROUND(VLOOKUP(A97,'Contribution Allocation_Report'!$A$9:$D$314,4,FALSE)*'OPEB Amounts_Report'!$O$321,0)</f>
        <v>-20078</v>
      </c>
      <c r="P97" s="220">
        <f>INDEX('Change in Proportion Layers'!$AC$8:$AC$320,MATCH('OPEB Amounts_Report'!A97,'Change in Proportion Layers'!$A$8:$A$320,0))</f>
        <v>19961</v>
      </c>
      <c r="Q97" s="220">
        <f t="shared" si="5"/>
        <v>-117</v>
      </c>
    </row>
    <row r="98" spans="1:17" ht="12" customHeight="1">
      <c r="A98" s="51">
        <v>17115</v>
      </c>
      <c r="B98" s="55" t="s">
        <v>87</v>
      </c>
      <c r="C98" s="147">
        <f>ROUND(VLOOKUP(A98,'Contribution Allocation_Report'!$A$9:$D$314,4,FALSE)*'OPEB Amounts_Report'!$C$321,0)</f>
        <v>2252780</v>
      </c>
      <c r="D98" s="147">
        <f>ROUND(VLOOKUP(A98,'Contribution Allocation_Report'!$A$9:$D$314,4,FALSE)*'OPEB Amounts_Report'!$D$321,0)</f>
        <v>13701</v>
      </c>
      <c r="E98" s="147">
        <f>ROUND(VLOOKUP(A98,'Contribution Allocation_Report'!$A$9:$D$314,4,FALSE)*'OPEB Amounts_Report'!$E$321,0)</f>
        <v>324173</v>
      </c>
      <c r="F98" s="147">
        <f>INDEX('Change in Proportion Layers'!$AE$8:$AE$320,MATCH('OPEB Amounts_Report'!A98,'Change in Proportion Layers'!$A$8:$A$320,0))</f>
        <v>415342</v>
      </c>
      <c r="G98" s="147">
        <f t="shared" si="3"/>
        <v>753216</v>
      </c>
      <c r="H98" s="147"/>
      <c r="I98" s="147">
        <f>ROUND(VLOOKUP(A98,'Contribution Allocation_Report'!$A$9:$D$314,4,FALSE)*'OPEB Amounts_Report'!$I$321,0)</f>
        <v>387084</v>
      </c>
      <c r="J98" s="147">
        <f>ROUND(VLOOKUP(A98,'Contribution Allocation_Report'!$A$9:$D$314,4,FALSE)*'OPEB Amounts_Report'!$J$321,0)</f>
        <v>34082</v>
      </c>
      <c r="K98" s="147">
        <f>ROUND(VLOOKUP(A98,'Contribution Allocation_Report'!$A$9:$D$314,4,FALSE)*$K$321,0)</f>
        <v>1038980</v>
      </c>
      <c r="L98" s="147">
        <f>INDEX('Change in Proportion Layers'!$AF$8:$AF$320,MATCH('OPEB Amounts_Report'!A98,'Change in Proportion Layers'!$A$8:$A$320,0))</f>
        <v>97863</v>
      </c>
      <c r="M98" s="147">
        <f t="shared" si="4"/>
        <v>1558009</v>
      </c>
      <c r="N98" s="221"/>
      <c r="O98" s="221">
        <f>ROUND(VLOOKUP(A98,'Contribution Allocation_Report'!$A$9:$D$314,4,FALSE)*'OPEB Amounts_Report'!$O$321,0)</f>
        <v>-385226</v>
      </c>
      <c r="P98" s="221">
        <f>INDEX('Change in Proportion Layers'!$AC$8:$AC$320,MATCH('OPEB Amounts_Report'!A98,'Change in Proportion Layers'!$A$8:$A$320,0))</f>
        <v>72000</v>
      </c>
      <c r="Q98" s="221">
        <f t="shared" si="5"/>
        <v>-313226</v>
      </c>
    </row>
    <row r="99" spans="1:17" ht="12" customHeight="1">
      <c r="A99" s="53">
        <v>13437</v>
      </c>
      <c r="B99" s="54" t="s">
        <v>88</v>
      </c>
      <c r="C99" s="148">
        <f>ROUND(VLOOKUP(A99,'Contribution Allocation_Report'!$A$9:$D$314,4,FALSE)*'OPEB Amounts_Report'!$C$321,0)</f>
        <v>214160</v>
      </c>
      <c r="D99" s="148">
        <f>ROUND(VLOOKUP(A99,'Contribution Allocation_Report'!$A$9:$D$314,4,FALSE)*'OPEB Amounts_Report'!$D$321,0)</f>
        <v>1302</v>
      </c>
      <c r="E99" s="148">
        <f>ROUND(VLOOKUP(A99,'Contribution Allocation_Report'!$A$9:$D$314,4,FALSE)*'OPEB Amounts_Report'!$E$321,0)</f>
        <v>30817</v>
      </c>
      <c r="F99" s="148">
        <f>INDEX('Change in Proportion Layers'!$AE$8:$AE$320,MATCH('OPEB Amounts_Report'!A99,'Change in Proportion Layers'!$A$8:$A$320,0))</f>
        <v>123410</v>
      </c>
      <c r="G99" s="148">
        <f t="shared" si="3"/>
        <v>155529</v>
      </c>
      <c r="H99" s="148"/>
      <c r="I99" s="148">
        <f>ROUND(VLOOKUP(A99,'Contribution Allocation_Report'!$A$9:$D$314,4,FALSE)*'OPEB Amounts_Report'!$I$321,0)</f>
        <v>36798</v>
      </c>
      <c r="J99" s="148">
        <f>ROUND(VLOOKUP(A99,'Contribution Allocation_Report'!$A$9:$D$314,4,FALSE)*'OPEB Amounts_Report'!$J$321,0)</f>
        <v>3240</v>
      </c>
      <c r="K99" s="148">
        <f>ROUND(VLOOKUP(A99,'Contribution Allocation_Report'!$A$9:$D$314,4,FALSE)*$K$321,0)</f>
        <v>98770</v>
      </c>
      <c r="L99" s="148">
        <f>INDEX('Change in Proportion Layers'!$AF$8:$AF$320,MATCH('OPEB Amounts_Report'!A99,'Change in Proportion Layers'!$A$8:$A$320,0))</f>
        <v>0</v>
      </c>
      <c r="M99" s="148">
        <f t="shared" si="4"/>
        <v>138808</v>
      </c>
      <c r="N99" s="220"/>
      <c r="O99" s="220">
        <f>ROUND(VLOOKUP(A99,'Contribution Allocation_Report'!$A$9:$D$314,4,FALSE)*'OPEB Amounts_Report'!$O$321,0)</f>
        <v>-36621</v>
      </c>
      <c r="P99" s="220">
        <f>INDEX('Change in Proportion Layers'!$AC$8:$AC$320,MATCH('OPEB Amounts_Report'!A99,'Change in Proportion Layers'!$A$8:$A$320,0))</f>
        <v>48669</v>
      </c>
      <c r="Q99" s="220">
        <f t="shared" si="5"/>
        <v>12048</v>
      </c>
    </row>
    <row r="100" spans="1:17" ht="12" customHeight="1">
      <c r="A100" s="51">
        <v>2304</v>
      </c>
      <c r="B100" s="55" t="s">
        <v>89</v>
      </c>
      <c r="C100" s="147">
        <f>ROUND(VLOOKUP(A100,'Contribution Allocation_Report'!$A$9:$D$314,4,FALSE)*'OPEB Amounts_Report'!$C$321,0)</f>
        <v>808795</v>
      </c>
      <c r="D100" s="147">
        <f>ROUND(VLOOKUP(A100,'Contribution Allocation_Report'!$A$9:$D$314,4,FALSE)*'OPEB Amounts_Report'!$D$321,0)</f>
        <v>4919</v>
      </c>
      <c r="E100" s="147">
        <f>ROUND(VLOOKUP(A100,'Contribution Allocation_Report'!$A$9:$D$314,4,FALSE)*'OPEB Amounts_Report'!$E$321,0)</f>
        <v>116385</v>
      </c>
      <c r="F100" s="147">
        <f>INDEX('Change in Proportion Layers'!$AE$8:$AE$320,MATCH('OPEB Amounts_Report'!A100,'Change in Proportion Layers'!$A$8:$A$320,0))</f>
        <v>355625</v>
      </c>
      <c r="G100" s="147">
        <f t="shared" si="3"/>
        <v>476929</v>
      </c>
      <c r="H100" s="147"/>
      <c r="I100" s="147">
        <f>ROUND(VLOOKUP(A100,'Contribution Allocation_Report'!$A$9:$D$314,4,FALSE)*'OPEB Amounts_Report'!$I$321,0)</f>
        <v>138971</v>
      </c>
      <c r="J100" s="147">
        <f>ROUND(VLOOKUP(A100,'Contribution Allocation_Report'!$A$9:$D$314,4,FALSE)*'OPEB Amounts_Report'!$J$321,0)</f>
        <v>12236</v>
      </c>
      <c r="K100" s="147">
        <f>ROUND(VLOOKUP(A100,'Contribution Allocation_Report'!$A$9:$D$314,4,FALSE)*$K$321,0)</f>
        <v>373015</v>
      </c>
      <c r="L100" s="147">
        <f>INDEX('Change in Proportion Layers'!$AF$8:$AF$320,MATCH('OPEB Amounts_Report'!A100,'Change in Proportion Layers'!$A$8:$A$320,0))</f>
        <v>270923</v>
      </c>
      <c r="M100" s="147">
        <f t="shared" si="4"/>
        <v>795145</v>
      </c>
      <c r="N100" s="221"/>
      <c r="O100" s="221">
        <f>ROUND(VLOOKUP(A100,'Contribution Allocation_Report'!$A$9:$D$314,4,FALSE)*'OPEB Amounts_Report'!$O$321,0)</f>
        <v>-138304</v>
      </c>
      <c r="P100" s="221">
        <f>INDEX('Change in Proportion Layers'!$AC$8:$AC$320,MATCH('OPEB Amounts_Report'!A100,'Change in Proportion Layers'!$A$8:$A$320,0))</f>
        <v>50537</v>
      </c>
      <c r="Q100" s="221">
        <f t="shared" si="5"/>
        <v>-87767</v>
      </c>
    </row>
    <row r="101" spans="1:17" ht="12" customHeight="1">
      <c r="A101" s="53">
        <v>11101</v>
      </c>
      <c r="B101" s="54" t="s">
        <v>91</v>
      </c>
      <c r="C101" s="148">
        <f>ROUND(VLOOKUP(A101,'Contribution Allocation_Report'!$A$9:$D$314,4,FALSE)*'OPEB Amounts_Report'!$C$321,0)</f>
        <v>9193460</v>
      </c>
      <c r="D101" s="148">
        <f>ROUND(VLOOKUP(A101,'Contribution Allocation_Report'!$A$9:$D$314,4,FALSE)*'OPEB Amounts_Report'!$D$321,0)</f>
        <v>55912</v>
      </c>
      <c r="E101" s="148">
        <f>ROUND(VLOOKUP(A101,'Contribution Allocation_Report'!$A$9:$D$314,4,FALSE)*'OPEB Amounts_Report'!$E$321,0)</f>
        <v>1322931</v>
      </c>
      <c r="F101" s="148">
        <f>INDEX('Change in Proportion Layers'!$AE$8:$AE$320,MATCH('OPEB Amounts_Report'!A101,'Change in Proportion Layers'!$A$8:$A$320,0))</f>
        <v>1517391</v>
      </c>
      <c r="G101" s="148">
        <f t="shared" si="3"/>
        <v>2896234</v>
      </c>
      <c r="H101" s="148"/>
      <c r="I101" s="148">
        <f>ROUND(VLOOKUP(A101,'Contribution Allocation_Report'!$A$9:$D$314,4,FALSE)*'OPEB Amounts_Report'!$I$321,0)</f>
        <v>1579667</v>
      </c>
      <c r="J101" s="148">
        <f>ROUND(VLOOKUP(A101,'Contribution Allocation_Report'!$A$9:$D$314,4,FALSE)*'OPEB Amounts_Report'!$J$321,0)</f>
        <v>139089</v>
      </c>
      <c r="K101" s="148">
        <f>ROUND(VLOOKUP(A101,'Contribution Allocation_Report'!$A$9:$D$314,4,FALSE)*$K$321,0)</f>
        <v>4240014</v>
      </c>
      <c r="L101" s="148">
        <f>INDEX('Change in Proportion Layers'!$AF$8:$AF$320,MATCH('OPEB Amounts_Report'!A101,'Change in Proportion Layers'!$A$8:$A$320,0))</f>
        <v>2574289</v>
      </c>
      <c r="M101" s="148">
        <f t="shared" si="4"/>
        <v>8533059</v>
      </c>
      <c r="N101" s="220"/>
      <c r="O101" s="220">
        <f>ROUND(VLOOKUP(A101,'Contribution Allocation_Report'!$A$9:$D$314,4,FALSE)*'OPEB Amounts_Report'!$O$321,0)</f>
        <v>-1572083</v>
      </c>
      <c r="P101" s="220">
        <f>INDEX('Change in Proportion Layers'!$AC$8:$AC$320,MATCH('OPEB Amounts_Report'!A101,'Change in Proportion Layers'!$A$8:$A$320,0))</f>
        <v>-252612</v>
      </c>
      <c r="Q101" s="220">
        <f t="shared" si="5"/>
        <v>-1824695</v>
      </c>
    </row>
    <row r="102" spans="1:17" ht="12" customHeight="1">
      <c r="A102" s="51">
        <v>11102</v>
      </c>
      <c r="B102" s="55" t="s">
        <v>90</v>
      </c>
      <c r="C102" s="147">
        <f>ROUND(VLOOKUP(A102,'Contribution Allocation_Report'!$A$9:$D$314,4,FALSE)*'OPEB Amounts_Report'!$C$321,0)</f>
        <v>2979766</v>
      </c>
      <c r="D102" s="147">
        <f>ROUND(VLOOKUP(A102,'Contribution Allocation_Report'!$A$9:$D$314,4,FALSE)*'OPEB Amounts_Report'!$D$321,0)</f>
        <v>18122</v>
      </c>
      <c r="E102" s="147">
        <f>ROUND(VLOOKUP(A102,'Contribution Allocation_Report'!$A$9:$D$314,4,FALSE)*'OPEB Amounts_Report'!$E$321,0)</f>
        <v>428786</v>
      </c>
      <c r="F102" s="147">
        <f>INDEX('Change in Proportion Layers'!$AE$8:$AE$320,MATCH('OPEB Amounts_Report'!A102,'Change in Proportion Layers'!$A$8:$A$320,0))</f>
        <v>137526</v>
      </c>
      <c r="G102" s="147">
        <f t="shared" si="3"/>
        <v>584434</v>
      </c>
      <c r="H102" s="147"/>
      <c r="I102" s="147">
        <f>ROUND(VLOOKUP(A102,'Contribution Allocation_Report'!$A$9:$D$314,4,FALSE)*'OPEB Amounts_Report'!$I$321,0)</f>
        <v>511999</v>
      </c>
      <c r="J102" s="147">
        <f>ROUND(VLOOKUP(A102,'Contribution Allocation_Report'!$A$9:$D$314,4,FALSE)*'OPEB Amounts_Report'!$J$321,0)</f>
        <v>45081</v>
      </c>
      <c r="K102" s="147">
        <f>ROUND(VLOOKUP(A102,'Contribution Allocation_Report'!$A$9:$D$314,4,FALSE)*$K$321,0)</f>
        <v>1374265</v>
      </c>
      <c r="L102" s="147">
        <f>INDEX('Change in Proportion Layers'!$AF$8:$AF$320,MATCH('OPEB Amounts_Report'!A102,'Change in Proportion Layers'!$A$8:$A$320,0))</f>
        <v>459263</v>
      </c>
      <c r="M102" s="147">
        <f t="shared" si="4"/>
        <v>2390608</v>
      </c>
      <c r="N102" s="221"/>
      <c r="O102" s="221">
        <f>ROUND(VLOOKUP(A102,'Contribution Allocation_Report'!$A$9:$D$314,4,FALSE)*'OPEB Amounts_Report'!$O$321,0)</f>
        <v>-509540</v>
      </c>
      <c r="P102" s="221">
        <f>INDEX('Change in Proportion Layers'!$AC$8:$AC$320,MATCH('OPEB Amounts_Report'!A102,'Change in Proportion Layers'!$A$8:$A$320,0))</f>
        <v>-286338</v>
      </c>
      <c r="Q102" s="221">
        <f t="shared" si="5"/>
        <v>-795878</v>
      </c>
    </row>
    <row r="103" spans="1:17" ht="12" customHeight="1">
      <c r="A103" s="53">
        <v>3100</v>
      </c>
      <c r="B103" s="54" t="s">
        <v>92</v>
      </c>
      <c r="C103" s="148">
        <f>ROUND(VLOOKUP(A103,'Contribution Allocation_Report'!$A$9:$D$314,4,FALSE)*'OPEB Amounts_Report'!$C$321,0)</f>
        <v>6249026</v>
      </c>
      <c r="D103" s="148">
        <f>ROUND(VLOOKUP(A103,'Contribution Allocation_Report'!$A$9:$D$314,4,FALSE)*'OPEB Amounts_Report'!$D$321,0)</f>
        <v>38005</v>
      </c>
      <c r="E103" s="148">
        <f>ROUND(VLOOKUP(A103,'Contribution Allocation_Report'!$A$9:$D$314,4,FALSE)*'OPEB Amounts_Report'!$E$321,0)</f>
        <v>899230</v>
      </c>
      <c r="F103" s="148">
        <f>INDEX('Change in Proportion Layers'!$AE$8:$AE$320,MATCH('OPEB Amounts_Report'!A103,'Change in Proportion Layers'!$A$8:$A$320,0))</f>
        <v>662200</v>
      </c>
      <c r="G103" s="148">
        <f t="shared" si="3"/>
        <v>1599435</v>
      </c>
      <c r="H103" s="148"/>
      <c r="I103" s="148">
        <f>ROUND(VLOOKUP(A103,'Contribution Allocation_Report'!$A$9:$D$314,4,FALSE)*'OPEB Amounts_Report'!$I$321,0)</f>
        <v>1073740</v>
      </c>
      <c r="J103" s="148">
        <f>ROUND(VLOOKUP(A103,'Contribution Allocation_Report'!$A$9:$D$314,4,FALSE)*'OPEB Amounts_Report'!$J$321,0)</f>
        <v>94542</v>
      </c>
      <c r="K103" s="148">
        <f>ROUND(VLOOKUP(A103,'Contribution Allocation_Report'!$A$9:$D$314,4,FALSE)*$K$321,0)</f>
        <v>2882044</v>
      </c>
      <c r="L103" s="148">
        <f>INDEX('Change in Proportion Layers'!$AF$8:$AF$320,MATCH('OPEB Amounts_Report'!A103,'Change in Proportion Layers'!$A$8:$A$320,0))</f>
        <v>1248653</v>
      </c>
      <c r="M103" s="148">
        <f t="shared" si="4"/>
        <v>5298979</v>
      </c>
      <c r="N103" s="220"/>
      <c r="O103" s="220">
        <f>ROUND(VLOOKUP(A103,'Contribution Allocation_Report'!$A$9:$D$314,4,FALSE)*'OPEB Amounts_Report'!$O$321,0)</f>
        <v>-1068584</v>
      </c>
      <c r="P103" s="220">
        <f>INDEX('Change in Proportion Layers'!$AC$8:$AC$320,MATCH('OPEB Amounts_Report'!A103,'Change in Proportion Layers'!$A$8:$A$320,0))</f>
        <v>-148325</v>
      </c>
      <c r="Q103" s="220">
        <f t="shared" si="5"/>
        <v>-1216909</v>
      </c>
    </row>
    <row r="104" spans="1:17" ht="12" customHeight="1">
      <c r="A104" s="51">
        <v>2323</v>
      </c>
      <c r="B104" s="55" t="s">
        <v>93</v>
      </c>
      <c r="C104" s="147">
        <f>ROUND(VLOOKUP(A104,'Contribution Allocation_Report'!$A$9:$D$314,4,FALSE)*'OPEB Amounts_Report'!$C$321,0)</f>
        <v>595485</v>
      </c>
      <c r="D104" s="147">
        <f>ROUND(VLOOKUP(A104,'Contribution Allocation_Report'!$A$9:$D$314,4,FALSE)*'OPEB Amounts_Report'!$D$321,0)</f>
        <v>3622</v>
      </c>
      <c r="E104" s="147">
        <f>ROUND(VLOOKUP(A104,'Contribution Allocation_Report'!$A$9:$D$314,4,FALSE)*'OPEB Amounts_Report'!$E$321,0)</f>
        <v>85690</v>
      </c>
      <c r="F104" s="147">
        <f>INDEX('Change in Proportion Layers'!$AE$8:$AE$320,MATCH('OPEB Amounts_Report'!A104,'Change in Proportion Layers'!$A$8:$A$320,0))</f>
        <v>55468</v>
      </c>
      <c r="G104" s="147">
        <f t="shared" si="3"/>
        <v>144780</v>
      </c>
      <c r="H104" s="147"/>
      <c r="I104" s="147">
        <f>ROUND(VLOOKUP(A104,'Contribution Allocation_Report'!$A$9:$D$314,4,FALSE)*'OPEB Amounts_Report'!$I$321,0)</f>
        <v>102319</v>
      </c>
      <c r="J104" s="147">
        <f>ROUND(VLOOKUP(A104,'Contribution Allocation_Report'!$A$9:$D$314,4,FALSE)*'OPEB Amounts_Report'!$J$321,0)</f>
        <v>9009</v>
      </c>
      <c r="K104" s="147">
        <f>ROUND(VLOOKUP(A104,'Contribution Allocation_Report'!$A$9:$D$314,4,FALSE)*$K$321,0)</f>
        <v>274637</v>
      </c>
      <c r="L104" s="147">
        <f>INDEX('Change in Proportion Layers'!$AF$8:$AF$320,MATCH('OPEB Amounts_Report'!A104,'Change in Proportion Layers'!$A$8:$A$320,0))</f>
        <v>177796</v>
      </c>
      <c r="M104" s="147">
        <f t="shared" si="4"/>
        <v>563761</v>
      </c>
      <c r="N104" s="221"/>
      <c r="O104" s="221">
        <f>ROUND(VLOOKUP(A104,'Contribution Allocation_Report'!$A$9:$D$314,4,FALSE)*'OPEB Amounts_Report'!$O$321,0)</f>
        <v>-101828</v>
      </c>
      <c r="P104" s="221">
        <f>INDEX('Change in Proportion Layers'!$AC$8:$AC$320,MATCH('OPEB Amounts_Report'!A104,'Change in Proportion Layers'!$A$8:$A$320,0))</f>
        <v>21577</v>
      </c>
      <c r="Q104" s="221">
        <f t="shared" si="5"/>
        <v>-80251</v>
      </c>
    </row>
    <row r="105" spans="1:17" ht="12" customHeight="1">
      <c r="A105" s="53">
        <v>11034</v>
      </c>
      <c r="B105" s="54" t="s">
        <v>94</v>
      </c>
      <c r="C105" s="148">
        <f>ROUND(VLOOKUP(A105,'Contribution Allocation_Report'!$A$9:$D$314,4,FALSE)*'OPEB Amounts_Report'!$C$321,0)</f>
        <v>517475</v>
      </c>
      <c r="D105" s="148">
        <f>ROUND(VLOOKUP(A105,'Contribution Allocation_Report'!$A$9:$D$314,4,FALSE)*'OPEB Amounts_Report'!$D$321,0)</f>
        <v>3147</v>
      </c>
      <c r="E105" s="148">
        <f>ROUND(VLOOKUP(A105,'Contribution Allocation_Report'!$A$9:$D$314,4,FALSE)*'OPEB Amounts_Report'!$E$321,0)</f>
        <v>74464</v>
      </c>
      <c r="F105" s="148">
        <f>INDEX('Change in Proportion Layers'!$AE$8:$AE$320,MATCH('OPEB Amounts_Report'!A105,'Change in Proportion Layers'!$A$8:$A$320,0))</f>
        <v>81691</v>
      </c>
      <c r="G105" s="148">
        <f t="shared" si="3"/>
        <v>159302</v>
      </c>
      <c r="H105" s="148"/>
      <c r="I105" s="148">
        <f>ROUND(VLOOKUP(A105,'Contribution Allocation_Report'!$A$9:$D$314,4,FALSE)*'OPEB Amounts_Report'!$I$321,0)</f>
        <v>88915</v>
      </c>
      <c r="J105" s="148">
        <f>ROUND(VLOOKUP(A105,'Contribution Allocation_Report'!$A$9:$D$314,4,FALSE)*'OPEB Amounts_Report'!$J$321,0)</f>
        <v>7829</v>
      </c>
      <c r="K105" s="148">
        <f>ROUND(VLOOKUP(A105,'Contribution Allocation_Report'!$A$9:$D$314,4,FALSE)*$K$321,0)</f>
        <v>238659</v>
      </c>
      <c r="L105" s="148">
        <f>INDEX('Change in Proportion Layers'!$AF$8:$AF$320,MATCH('OPEB Amounts_Report'!A105,'Change in Proportion Layers'!$A$8:$A$320,0))</f>
        <v>39530</v>
      </c>
      <c r="M105" s="148">
        <f t="shared" si="4"/>
        <v>374933</v>
      </c>
      <c r="N105" s="220"/>
      <c r="O105" s="220">
        <f>ROUND(VLOOKUP(A105,'Contribution Allocation_Report'!$A$9:$D$314,4,FALSE)*'OPEB Amounts_Report'!$O$321,0)</f>
        <v>-88488</v>
      </c>
      <c r="P105" s="220">
        <f>INDEX('Change in Proportion Layers'!$AC$8:$AC$320,MATCH('OPEB Amounts_Report'!A105,'Change in Proportion Layers'!$A$8:$A$320,0))</f>
        <v>18982</v>
      </c>
      <c r="Q105" s="220">
        <f t="shared" si="5"/>
        <v>-69506</v>
      </c>
    </row>
    <row r="106" spans="1:17" ht="12" customHeight="1">
      <c r="A106" s="51">
        <v>588001</v>
      </c>
      <c r="B106" s="55" t="s">
        <v>475</v>
      </c>
      <c r="C106" s="147">
        <f>ROUND(VLOOKUP(A106,'Contribution Allocation_Report'!$A$9:$D$314,4,FALSE)*'OPEB Amounts_Report'!$C$321,0)</f>
        <v>17953</v>
      </c>
      <c r="D106" s="147">
        <f>ROUND(VLOOKUP(A106,'Contribution Allocation_Report'!$A$9:$D$314,4,FALSE)*'OPEB Amounts_Report'!$D$321,0)</f>
        <v>109</v>
      </c>
      <c r="E106" s="147">
        <f>ROUND(VLOOKUP(A106,'Contribution Allocation_Report'!$A$9:$D$314,4,FALSE)*'OPEB Amounts_Report'!$E$321,0)</f>
        <v>2583</v>
      </c>
      <c r="F106" s="147">
        <f>INDEX('Change in Proportion Layers'!$AE$8:$AE$320,MATCH('OPEB Amounts_Report'!A106,'Change in Proportion Layers'!$A$8:$A$320,0))</f>
        <v>26066</v>
      </c>
      <c r="G106" s="147">
        <f t="shared" si="3"/>
        <v>28758</v>
      </c>
      <c r="H106" s="147"/>
      <c r="I106" s="147">
        <f>ROUND(VLOOKUP(A106,'Contribution Allocation_Report'!$A$9:$D$314,4,FALSE)*'OPEB Amounts_Report'!$I$321,0)</f>
        <v>3085</v>
      </c>
      <c r="J106" s="147">
        <f>ROUND(VLOOKUP(A106,'Contribution Allocation_Report'!$A$9:$D$314,4,FALSE)*'OPEB Amounts_Report'!$J$321,0)</f>
        <v>272</v>
      </c>
      <c r="K106" s="147">
        <f>ROUND(VLOOKUP(A106,'Contribution Allocation_Report'!$A$9:$D$314,4,FALSE)*$K$321,0)</f>
        <v>8280</v>
      </c>
      <c r="L106" s="147">
        <f>INDEX('Change in Proportion Layers'!$AF$8:$AF$320,MATCH('OPEB Amounts_Report'!A106,'Change in Proportion Layers'!$A$8:$A$320,0))</f>
        <v>0</v>
      </c>
      <c r="M106" s="147">
        <f t="shared" ref="M106" si="6">SUM(I106:L106)</f>
        <v>11637</v>
      </c>
      <c r="N106" s="221"/>
      <c r="O106" s="221">
        <f>ROUND(VLOOKUP(A106,'Contribution Allocation_Report'!$A$9:$D$314,4,FALSE)*'OPEB Amounts_Report'!$O$321,0)</f>
        <v>-3070</v>
      </c>
      <c r="P106" s="221">
        <f>INDEX('Change in Proportion Layers'!$AC$8:$AC$320,MATCH('OPEB Amounts_Report'!A106,'Change in Proportion Layers'!$A$8:$A$320,0))</f>
        <v>5464</v>
      </c>
      <c r="Q106" s="221">
        <f t="shared" ref="Q106" si="7">+O106+P106</f>
        <v>2394</v>
      </c>
    </row>
    <row r="107" spans="1:17" ht="12" customHeight="1">
      <c r="A107" s="51">
        <v>17054</v>
      </c>
      <c r="B107" s="52" t="s">
        <v>95</v>
      </c>
      <c r="C107" s="115">
        <f>ROUND(VLOOKUP(A107,'Contribution Allocation_Report'!$A$9:$D$314,4,FALSE)*'OPEB Amounts_Report'!$C$321,0)</f>
        <v>6571603</v>
      </c>
      <c r="D107" s="115">
        <f>ROUND(VLOOKUP(A107,'Contribution Allocation_Report'!$A$9:$D$314,4,FALSE)*'OPEB Amounts_Report'!$D$321,0)</f>
        <v>39967</v>
      </c>
      <c r="E107" s="115">
        <f>ROUND(VLOOKUP(A107,'Contribution Allocation_Report'!$A$9:$D$314,4,FALSE)*'OPEB Amounts_Report'!$E$321,0)</f>
        <v>945648</v>
      </c>
      <c r="F107" s="115">
        <f>INDEX('Change in Proportion Layers'!$AE$8:$AE$320,MATCH('OPEB Amounts_Report'!A107,'Change in Proportion Layers'!$A$8:$A$320,0))</f>
        <v>15477</v>
      </c>
      <c r="G107" s="115">
        <f t="shared" si="3"/>
        <v>1001092</v>
      </c>
      <c r="H107" s="115"/>
      <c r="I107" s="115">
        <f>ROUND(VLOOKUP(A107,'Contribution Allocation_Report'!$A$9:$D$314,4,FALSE)*'OPEB Amounts_Report'!$I$321,0)</f>
        <v>1129166</v>
      </c>
      <c r="J107" s="115">
        <f>ROUND(VLOOKUP(A107,'Contribution Allocation_Report'!$A$9:$D$314,4,FALSE)*'OPEB Amounts_Report'!$J$321,0)</f>
        <v>99422</v>
      </c>
      <c r="K107" s="115">
        <f>ROUND(VLOOKUP(A107,'Contribution Allocation_Report'!$A$9:$D$314,4,FALSE)*$K$321,0)</f>
        <v>3030816</v>
      </c>
      <c r="L107" s="117">
        <f>INDEX('Change in Proportion Layers'!$AF$8:$AF$320,MATCH('OPEB Amounts_Report'!A107,'Change in Proportion Layers'!$A$8:$A$320,0))</f>
        <v>1150598</v>
      </c>
      <c r="M107" s="115">
        <f t="shared" si="4"/>
        <v>5410002</v>
      </c>
      <c r="N107" s="116"/>
      <c r="O107" s="116">
        <f>ROUND(VLOOKUP(A107,'Contribution Allocation_Report'!$A$9:$D$314,4,FALSE)*'OPEB Amounts_Report'!$O$321,0)</f>
        <v>-1123745</v>
      </c>
      <c r="P107" s="116">
        <f>INDEX('Change in Proportion Layers'!$AC$8:$AC$320,MATCH('OPEB Amounts_Report'!A107,'Change in Proportion Layers'!$A$8:$A$320,0))</f>
        <v>-314594</v>
      </c>
      <c r="Q107" s="116">
        <f t="shared" si="5"/>
        <v>-1438339</v>
      </c>
    </row>
    <row r="108" spans="1:17" ht="12" customHeight="1">
      <c r="A108" s="53">
        <v>22065</v>
      </c>
      <c r="B108" s="54" t="s">
        <v>96</v>
      </c>
      <c r="C108" s="148">
        <f>ROUND(VLOOKUP(A108,'Contribution Allocation_Report'!$A$9:$D$314,4,FALSE)*'OPEB Amounts_Report'!$C$321,0)</f>
        <v>1698045</v>
      </c>
      <c r="D108" s="148">
        <f>ROUND(VLOOKUP(A108,'Contribution Allocation_Report'!$A$9:$D$314,4,FALSE)*'OPEB Amounts_Report'!$D$321,0)</f>
        <v>10327</v>
      </c>
      <c r="E108" s="148">
        <f>ROUND(VLOOKUP(A108,'Contribution Allocation_Report'!$A$9:$D$314,4,FALSE)*'OPEB Amounts_Report'!$E$321,0)</f>
        <v>244347</v>
      </c>
      <c r="F108" s="148">
        <f>INDEX('Change in Proportion Layers'!$AE$8:$AE$320,MATCH('OPEB Amounts_Report'!A108,'Change in Proportion Layers'!$A$8:$A$320,0))</f>
        <v>223219</v>
      </c>
      <c r="G108" s="148">
        <f t="shared" si="3"/>
        <v>477893</v>
      </c>
      <c r="H108" s="148"/>
      <c r="I108" s="148">
        <f>ROUND(VLOOKUP(A108,'Contribution Allocation_Report'!$A$9:$D$314,4,FALSE)*'OPEB Amounts_Report'!$I$321,0)</f>
        <v>291767</v>
      </c>
      <c r="J108" s="148">
        <f>ROUND(VLOOKUP(A108,'Contribution Allocation_Report'!$A$9:$D$314,4,FALSE)*'OPEB Amounts_Report'!$J$321,0)</f>
        <v>25690</v>
      </c>
      <c r="K108" s="148">
        <f>ROUND(VLOOKUP(A108,'Contribution Allocation_Report'!$A$9:$D$314,4,FALSE)*$K$321,0)</f>
        <v>783136</v>
      </c>
      <c r="L108" s="148">
        <f>INDEX('Change in Proportion Layers'!$AF$8:$AF$320,MATCH('OPEB Amounts_Report'!A108,'Change in Proportion Layers'!$A$8:$A$320,0))</f>
        <v>78457</v>
      </c>
      <c r="M108" s="148">
        <f t="shared" si="4"/>
        <v>1179050</v>
      </c>
      <c r="N108" s="220"/>
      <c r="O108" s="220">
        <f>ROUND(VLOOKUP(A108,'Contribution Allocation_Report'!$A$9:$D$314,4,FALSE)*'OPEB Amounts_Report'!$O$321,0)</f>
        <v>-290366</v>
      </c>
      <c r="P108" s="220">
        <f>INDEX('Change in Proportion Layers'!$AC$8:$AC$320,MATCH('OPEB Amounts_Report'!A108,'Change in Proportion Layers'!$A$8:$A$320,0))</f>
        <v>85548</v>
      </c>
      <c r="Q108" s="220">
        <f t="shared" si="5"/>
        <v>-204818</v>
      </c>
    </row>
    <row r="109" spans="1:17" ht="12" customHeight="1">
      <c r="A109" s="51">
        <v>22201</v>
      </c>
      <c r="B109" s="55" t="s">
        <v>97</v>
      </c>
      <c r="C109" s="147">
        <f>ROUND(VLOOKUP(A109,'Contribution Allocation_Report'!$A$9:$D$314,4,FALSE)*'OPEB Amounts_Report'!$C$321,0)</f>
        <v>920288</v>
      </c>
      <c r="D109" s="147">
        <f>ROUND(VLOOKUP(A109,'Contribution Allocation_Report'!$A$9:$D$314,4,FALSE)*'OPEB Amounts_Report'!$D$321,0)</f>
        <v>5597</v>
      </c>
      <c r="E109" s="147">
        <f>ROUND(VLOOKUP(A109,'Contribution Allocation_Report'!$A$9:$D$314,4,FALSE)*'OPEB Amounts_Report'!$E$321,0)</f>
        <v>132429</v>
      </c>
      <c r="F109" s="147">
        <f>INDEX('Change in Proportion Layers'!$AE$8:$AE$320,MATCH('OPEB Amounts_Report'!A109,'Change in Proportion Layers'!$A$8:$A$320,0))</f>
        <v>264379</v>
      </c>
      <c r="G109" s="147">
        <f t="shared" si="3"/>
        <v>402405</v>
      </c>
      <c r="H109" s="147"/>
      <c r="I109" s="147">
        <f>ROUND(VLOOKUP(A109,'Contribution Allocation_Report'!$A$9:$D$314,4,FALSE)*'OPEB Amounts_Report'!$I$321,0)</f>
        <v>158129</v>
      </c>
      <c r="J109" s="147">
        <f>ROUND(VLOOKUP(A109,'Contribution Allocation_Report'!$A$9:$D$314,4,FALSE)*'OPEB Amounts_Report'!$J$321,0)</f>
        <v>13923</v>
      </c>
      <c r="K109" s="147">
        <f>ROUND(VLOOKUP(A109,'Contribution Allocation_Report'!$A$9:$D$314,4,FALSE)*$K$321,0)</f>
        <v>424436</v>
      </c>
      <c r="L109" s="147">
        <f>INDEX('Change in Proportion Layers'!$AF$8:$AF$320,MATCH('OPEB Amounts_Report'!A109,'Change in Proportion Layers'!$A$8:$A$320,0))</f>
        <v>126705</v>
      </c>
      <c r="M109" s="147">
        <f t="shared" si="4"/>
        <v>723193</v>
      </c>
      <c r="N109" s="221"/>
      <c r="O109" s="221">
        <f>ROUND(VLOOKUP(A109,'Contribution Allocation_Report'!$A$9:$D$314,4,FALSE)*'OPEB Amounts_Report'!$O$321,0)</f>
        <v>-157369</v>
      </c>
      <c r="P109" s="221">
        <f>INDEX('Change in Proportion Layers'!$AC$8:$AC$320,MATCH('OPEB Amounts_Report'!A109,'Change in Proportion Layers'!$A$8:$A$320,0))</f>
        <v>80812</v>
      </c>
      <c r="Q109" s="221">
        <f t="shared" si="5"/>
        <v>-76557</v>
      </c>
    </row>
    <row r="110" spans="1:17" ht="12" customHeight="1">
      <c r="A110" s="53">
        <v>6016</v>
      </c>
      <c r="B110" s="54" t="s">
        <v>98</v>
      </c>
      <c r="C110" s="148">
        <f>ROUND(VLOOKUP(A110,'Contribution Allocation_Report'!$A$9:$D$314,4,FALSE)*'OPEB Amounts_Report'!$C$321,0)</f>
        <v>1696208</v>
      </c>
      <c r="D110" s="148">
        <f>ROUND(VLOOKUP(A110,'Contribution Allocation_Report'!$A$9:$D$314,4,FALSE)*'OPEB Amounts_Report'!$D$321,0)</f>
        <v>10316</v>
      </c>
      <c r="E110" s="148">
        <f>ROUND(VLOOKUP(A110,'Contribution Allocation_Report'!$A$9:$D$314,4,FALSE)*'OPEB Amounts_Report'!$E$321,0)</f>
        <v>244083</v>
      </c>
      <c r="F110" s="148">
        <f>INDEX('Change in Proportion Layers'!$AE$8:$AE$320,MATCH('OPEB Amounts_Report'!A110,'Change in Proportion Layers'!$A$8:$A$320,0))</f>
        <v>183590</v>
      </c>
      <c r="G110" s="148">
        <f t="shared" si="3"/>
        <v>437989</v>
      </c>
      <c r="H110" s="148"/>
      <c r="I110" s="148">
        <f>ROUND(VLOOKUP(A110,'Contribution Allocation_Report'!$A$9:$D$314,4,FALSE)*'OPEB Amounts_Report'!$I$321,0)</f>
        <v>291451</v>
      </c>
      <c r="J110" s="148">
        <f>ROUND(VLOOKUP(A110,'Contribution Allocation_Report'!$A$9:$D$314,4,FALSE)*'OPEB Amounts_Report'!$J$321,0)</f>
        <v>25662</v>
      </c>
      <c r="K110" s="148">
        <f>ROUND(VLOOKUP(A110,'Contribution Allocation_Report'!$A$9:$D$314,4,FALSE)*$K$321,0)</f>
        <v>782289</v>
      </c>
      <c r="L110" s="148">
        <f>INDEX('Change in Proportion Layers'!$AF$8:$AF$320,MATCH('OPEB Amounts_Report'!A110,'Change in Proportion Layers'!$A$8:$A$320,0))</f>
        <v>118126</v>
      </c>
      <c r="M110" s="148">
        <f t="shared" si="4"/>
        <v>1217528</v>
      </c>
      <c r="N110" s="220"/>
      <c r="O110" s="220">
        <f>ROUND(VLOOKUP(A110,'Contribution Allocation_Report'!$A$9:$D$314,4,FALSE)*'OPEB Amounts_Report'!$O$321,0)</f>
        <v>-290052</v>
      </c>
      <c r="P110" s="220">
        <f>INDEX('Change in Proportion Layers'!$AC$8:$AC$320,MATCH('OPEB Amounts_Report'!A110,'Change in Proportion Layers'!$A$8:$A$320,0))</f>
        <v>74681</v>
      </c>
      <c r="Q110" s="220">
        <f t="shared" si="5"/>
        <v>-215371</v>
      </c>
    </row>
    <row r="111" spans="1:17" ht="12" customHeight="1">
      <c r="A111" s="51">
        <v>2432</v>
      </c>
      <c r="B111" s="55" t="s">
        <v>99</v>
      </c>
      <c r="C111" s="147">
        <f>ROUND(VLOOKUP(A111,'Contribution Allocation_Report'!$A$9:$D$314,4,FALSE)*'OPEB Amounts_Report'!$C$321,0)</f>
        <v>2837785</v>
      </c>
      <c r="D111" s="147">
        <f>ROUND(VLOOKUP(A111,'Contribution Allocation_Report'!$A$9:$D$314,4,FALSE)*'OPEB Amounts_Report'!$D$321,0)</f>
        <v>17259</v>
      </c>
      <c r="E111" s="147">
        <f>ROUND(VLOOKUP(A111,'Contribution Allocation_Report'!$A$9:$D$314,4,FALSE)*'OPEB Amounts_Report'!$E$321,0)</f>
        <v>408355</v>
      </c>
      <c r="F111" s="147">
        <f>INDEX('Change in Proportion Layers'!$AE$8:$AE$320,MATCH('OPEB Amounts_Report'!A111,'Change in Proportion Layers'!$A$8:$A$320,0))</f>
        <v>2080186</v>
      </c>
      <c r="G111" s="147">
        <f t="shared" si="3"/>
        <v>2505800</v>
      </c>
      <c r="H111" s="147"/>
      <c r="I111" s="147">
        <f>ROUND(VLOOKUP(A111,'Contribution Allocation_Report'!$A$9:$D$314,4,FALSE)*'OPEB Amounts_Report'!$I$321,0)</f>
        <v>487603</v>
      </c>
      <c r="J111" s="147">
        <f>ROUND(VLOOKUP(A111,'Contribution Allocation_Report'!$A$9:$D$314,4,FALSE)*'OPEB Amounts_Report'!$J$321,0)</f>
        <v>42933</v>
      </c>
      <c r="K111" s="147">
        <f>ROUND(VLOOKUP(A111,'Contribution Allocation_Report'!$A$9:$D$314,4,FALSE)*$K$321,0)</f>
        <v>1308783</v>
      </c>
      <c r="L111" s="147">
        <f>INDEX('Change in Proportion Layers'!$AF$8:$AF$320,MATCH('OPEB Amounts_Report'!A111,'Change in Proportion Layers'!$A$8:$A$320,0))</f>
        <v>30376</v>
      </c>
      <c r="M111" s="147">
        <f t="shared" si="4"/>
        <v>1869695</v>
      </c>
      <c r="N111" s="221"/>
      <c r="O111" s="221">
        <f>ROUND(VLOOKUP(A111,'Contribution Allocation_Report'!$A$9:$D$314,4,FALSE)*'OPEB Amounts_Report'!$O$321,0)</f>
        <v>-485262</v>
      </c>
      <c r="P111" s="221">
        <f>INDEX('Change in Proportion Layers'!$AC$8:$AC$320,MATCH('OPEB Amounts_Report'!A111,'Change in Proportion Layers'!$A$8:$A$320,0))</f>
        <v>941886</v>
      </c>
      <c r="Q111" s="221">
        <f t="shared" si="5"/>
        <v>456624</v>
      </c>
    </row>
    <row r="112" spans="1:17" ht="12" customHeight="1">
      <c r="A112" s="53">
        <v>7440</v>
      </c>
      <c r="B112" s="54" t="s">
        <v>428</v>
      </c>
      <c r="C112" s="148">
        <f>ROUND(VLOOKUP(A112,'Contribution Allocation_Report'!$A$9:$D$314,4,FALSE)*'OPEB Amounts_Report'!$C$321,0)</f>
        <v>917534</v>
      </c>
      <c r="D112" s="148">
        <f>ROUND(VLOOKUP(A112,'Contribution Allocation_Report'!$A$9:$D$314,4,FALSE)*'OPEB Amounts_Report'!$D$321,0)</f>
        <v>5580</v>
      </c>
      <c r="E112" s="148">
        <f>ROUND(VLOOKUP(A112,'Contribution Allocation_Report'!$A$9:$D$314,4,FALSE)*'OPEB Amounts_Report'!$E$321,0)</f>
        <v>132032</v>
      </c>
      <c r="F112" s="148">
        <f>INDEX('Change in Proportion Layers'!$AE$8:$AE$320,MATCH('OPEB Amounts_Report'!A112,'Change in Proportion Layers'!$A$8:$A$320,0))</f>
        <v>1167975</v>
      </c>
      <c r="G112" s="148">
        <f t="shared" si="3"/>
        <v>1305587</v>
      </c>
      <c r="H112" s="148"/>
      <c r="I112" s="148">
        <f>ROUND(VLOOKUP(A112,'Contribution Allocation_Report'!$A$9:$D$314,4,FALSE)*'OPEB Amounts_Report'!$I$321,0)</f>
        <v>157655</v>
      </c>
      <c r="J112" s="148">
        <f>ROUND(VLOOKUP(A112,'Contribution Allocation_Report'!$A$9:$D$314,4,FALSE)*'OPEB Amounts_Report'!$J$321,0)</f>
        <v>13881</v>
      </c>
      <c r="K112" s="148">
        <f>ROUND(VLOOKUP(A112,'Contribution Allocation_Report'!$A$9:$D$314,4,FALSE)*$K$321,0)</f>
        <v>423165</v>
      </c>
      <c r="L112" s="148">
        <f>INDEX('Change in Proportion Layers'!$AF$8:$AF$320,MATCH('OPEB Amounts_Report'!A112,'Change in Proportion Layers'!$A$8:$A$320,0))</f>
        <v>0</v>
      </c>
      <c r="M112" s="148">
        <f t="shared" si="4"/>
        <v>594701</v>
      </c>
      <c r="N112" s="220"/>
      <c r="O112" s="220">
        <f>ROUND(VLOOKUP(A112,'Contribution Allocation_Report'!$A$9:$D$314,4,FALSE)*'OPEB Amounts_Report'!$O$321,0)</f>
        <v>-156898</v>
      </c>
      <c r="P112" s="220">
        <f>INDEX('Change in Proportion Layers'!$AC$8:$AC$320,MATCH('OPEB Amounts_Report'!A112,'Change in Proportion Layers'!$A$8:$A$320,0))</f>
        <v>341740</v>
      </c>
      <c r="Q112" s="220">
        <f t="shared" si="5"/>
        <v>184842</v>
      </c>
    </row>
    <row r="113" spans="1:17" ht="12" customHeight="1">
      <c r="A113" s="51">
        <v>29125</v>
      </c>
      <c r="B113" s="55" t="s">
        <v>454</v>
      </c>
      <c r="C113" s="147">
        <f>ROUND(VLOOKUP(A113,'Contribution Allocation_Report'!$A$9:$D$314,4,FALSE)*'OPEB Amounts_Report'!$C$321,0)</f>
        <v>591708</v>
      </c>
      <c r="D113" s="147">
        <f>ROUND(VLOOKUP(A113,'Contribution Allocation_Report'!$A$9:$D$314,4,FALSE)*'OPEB Amounts_Report'!$D$321,0)</f>
        <v>3599</v>
      </c>
      <c r="E113" s="147">
        <f>ROUND(VLOOKUP(A113,'Contribution Allocation_Report'!$A$9:$D$314,4,FALSE)*'OPEB Amounts_Report'!$E$321,0)</f>
        <v>85146</v>
      </c>
      <c r="F113" s="147">
        <f>INDEX('Change in Proportion Layers'!$AE$8:$AE$320,MATCH('OPEB Amounts_Report'!A113,'Change in Proportion Layers'!$A$8:$A$320,0))</f>
        <v>827315</v>
      </c>
      <c r="G113" s="147">
        <f t="shared" si="3"/>
        <v>916060</v>
      </c>
      <c r="H113" s="147"/>
      <c r="I113" s="147">
        <f>ROUND(VLOOKUP(A113,'Contribution Allocation_Report'!$A$9:$D$314,4,FALSE)*'OPEB Amounts_Report'!$I$321,0)</f>
        <v>101670</v>
      </c>
      <c r="J113" s="147">
        <f>ROUND(VLOOKUP(A113,'Contribution Allocation_Report'!$A$9:$D$314,4,FALSE)*'OPEB Amounts_Report'!$J$321,0)</f>
        <v>8952</v>
      </c>
      <c r="K113" s="147">
        <f>ROUND(VLOOKUP(A113,'Contribution Allocation_Report'!$A$9:$D$314,4,FALSE)*$K$321,0)</f>
        <v>272895</v>
      </c>
      <c r="L113" s="147">
        <f>INDEX('Change in Proportion Layers'!$AF$8:$AF$320,MATCH('OPEB Amounts_Report'!A113,'Change in Proportion Layers'!$A$8:$A$320,0))</f>
        <v>0</v>
      </c>
      <c r="M113" s="147">
        <f t="shared" ref="M113" si="8">SUM(I113:L113)</f>
        <v>383517</v>
      </c>
      <c r="N113" s="221"/>
      <c r="O113" s="221">
        <f>ROUND(VLOOKUP(A113,'Contribution Allocation_Report'!$A$9:$D$314,4,FALSE)*'OPEB Amounts_Report'!$O$321,0)</f>
        <v>-101182</v>
      </c>
      <c r="P113" s="221">
        <f>INDEX('Change in Proportion Layers'!$AC$8:$AC$320,MATCH('OPEB Amounts_Report'!A113,'Change in Proportion Layers'!$A$8:$A$320,0))</f>
        <v>198194</v>
      </c>
      <c r="Q113" s="221">
        <f t="shared" ref="Q113" si="9">+O113+P113</f>
        <v>97012</v>
      </c>
    </row>
    <row r="114" spans="1:17" ht="12" customHeight="1">
      <c r="A114" s="53">
        <v>16052</v>
      </c>
      <c r="B114" s="54" t="s">
        <v>100</v>
      </c>
      <c r="C114" s="148">
        <f>ROUND(VLOOKUP(A114,'Contribution Allocation_Report'!$A$9:$D$314,4,FALSE)*'OPEB Amounts_Report'!$C$321,0)</f>
        <v>19547769</v>
      </c>
      <c r="D114" s="148">
        <f>ROUND(VLOOKUP(A114,'Contribution Allocation_Report'!$A$9:$D$314,4,FALSE)*'OPEB Amounts_Report'!$D$321,0)</f>
        <v>118884</v>
      </c>
      <c r="E114" s="148">
        <f>ROUND(VLOOKUP(A114,'Contribution Allocation_Report'!$A$9:$D$314,4,FALSE)*'OPEB Amounts_Report'!$E$321,0)</f>
        <v>2812907</v>
      </c>
      <c r="F114" s="148">
        <f>INDEX('Change in Proportion Layers'!$AE$8:$AE$320,MATCH('OPEB Amounts_Report'!A114,'Change in Proportion Layers'!$A$8:$A$320,0))</f>
        <v>760198</v>
      </c>
      <c r="G114" s="148">
        <f t="shared" si="3"/>
        <v>3691989</v>
      </c>
      <c r="H114" s="148"/>
      <c r="I114" s="148">
        <f>ROUND(VLOOKUP(A114,'Contribution Allocation_Report'!$A$9:$D$314,4,FALSE)*'OPEB Amounts_Report'!$I$321,0)</f>
        <v>3358798</v>
      </c>
      <c r="J114" s="148">
        <f>ROUND(VLOOKUP(A114,'Contribution Allocation_Report'!$A$9:$D$314,4,FALSE)*'OPEB Amounts_Report'!$J$321,0)</f>
        <v>295740</v>
      </c>
      <c r="K114" s="148">
        <f>ROUND(VLOOKUP(A114,'Contribution Allocation_Report'!$A$9:$D$314,4,FALSE)*$K$321,0)</f>
        <v>9015410</v>
      </c>
      <c r="L114" s="148">
        <f>INDEX('Change in Proportion Layers'!$AF$8:$AF$320,MATCH('OPEB Amounts_Report'!A114,'Change in Proportion Layers'!$A$8:$A$320,0))</f>
        <v>3050816</v>
      </c>
      <c r="M114" s="148">
        <f t="shared" si="4"/>
        <v>15720764</v>
      </c>
      <c r="N114" s="220"/>
      <c r="O114" s="220">
        <f>ROUND(VLOOKUP(A114,'Contribution Allocation_Report'!$A$9:$D$314,4,FALSE)*'OPEB Amounts_Report'!$O$321,0)</f>
        <v>-3342672</v>
      </c>
      <c r="P114" s="220">
        <f>INDEX('Change in Proportion Layers'!$AC$8:$AC$320,MATCH('OPEB Amounts_Report'!A114,'Change in Proportion Layers'!$A$8:$A$320,0))</f>
        <v>338704</v>
      </c>
      <c r="Q114" s="220">
        <f t="shared" si="5"/>
        <v>-3003968</v>
      </c>
    </row>
    <row r="115" spans="1:17" ht="12" customHeight="1">
      <c r="A115" s="51">
        <v>11118</v>
      </c>
      <c r="B115" s="55" t="s">
        <v>101</v>
      </c>
      <c r="C115" s="147">
        <f>ROUND(VLOOKUP(A115,'Contribution Allocation_Report'!$A$9:$D$314,4,FALSE)*'OPEB Amounts_Report'!$C$321,0)</f>
        <v>529252</v>
      </c>
      <c r="D115" s="147">
        <f>ROUND(VLOOKUP(A115,'Contribution Allocation_Report'!$A$9:$D$314,4,FALSE)*'OPEB Amounts_Report'!$D$321,0)</f>
        <v>3219</v>
      </c>
      <c r="E115" s="147">
        <f>ROUND(VLOOKUP(A115,'Contribution Allocation_Report'!$A$9:$D$314,4,FALSE)*'OPEB Amounts_Report'!$E$321,0)</f>
        <v>76159</v>
      </c>
      <c r="F115" s="147">
        <f>INDEX('Change in Proportion Layers'!$AE$8:$AE$320,MATCH('OPEB Amounts_Report'!A115,'Change in Proportion Layers'!$A$8:$A$320,0))</f>
        <v>18779</v>
      </c>
      <c r="G115" s="147">
        <f t="shared" si="3"/>
        <v>98157</v>
      </c>
      <c r="H115" s="147"/>
      <c r="I115" s="147">
        <f>ROUND(VLOOKUP(A115,'Contribution Allocation_Report'!$A$9:$D$314,4,FALSE)*'OPEB Amounts_Report'!$I$321,0)</f>
        <v>90939</v>
      </c>
      <c r="J115" s="147">
        <f>ROUND(VLOOKUP(A115,'Contribution Allocation_Report'!$A$9:$D$314,4,FALSE)*'OPEB Amounts_Report'!$J$321,0)</f>
        <v>8007</v>
      </c>
      <c r="K115" s="147">
        <f>ROUND(VLOOKUP(A115,'Contribution Allocation_Report'!$A$9:$D$314,4,FALSE)*$K$321,0)</f>
        <v>244091</v>
      </c>
      <c r="L115" s="147">
        <f>INDEX('Change in Proportion Layers'!$AF$8:$AF$320,MATCH('OPEB Amounts_Report'!A115,'Change in Proportion Layers'!$A$8:$A$320,0))</f>
        <v>81239</v>
      </c>
      <c r="M115" s="147">
        <f t="shared" si="4"/>
        <v>424276</v>
      </c>
      <c r="N115" s="221"/>
      <c r="O115" s="221">
        <f>ROUND(VLOOKUP(A115,'Contribution Allocation_Report'!$A$9:$D$314,4,FALSE)*'OPEB Amounts_Report'!$O$321,0)</f>
        <v>-90502</v>
      </c>
      <c r="P115" s="221">
        <f>INDEX('Change in Proportion Layers'!$AC$8:$AC$320,MATCH('OPEB Amounts_Report'!A115,'Change in Proportion Layers'!$A$8:$A$320,0))</f>
        <v>-50033</v>
      </c>
      <c r="Q115" s="221">
        <f t="shared" si="5"/>
        <v>-140535</v>
      </c>
    </row>
    <row r="116" spans="1:17" ht="12" customHeight="1">
      <c r="A116" s="53">
        <v>27083</v>
      </c>
      <c r="B116" s="54" t="s">
        <v>102</v>
      </c>
      <c r="C116" s="148">
        <f>ROUND(VLOOKUP(A116,'Contribution Allocation_Report'!$A$9:$D$314,4,FALSE)*'OPEB Amounts_Report'!$C$321,0)</f>
        <v>853746</v>
      </c>
      <c r="D116" s="148">
        <f>ROUND(VLOOKUP(A116,'Contribution Allocation_Report'!$A$9:$D$314,4,FALSE)*'OPEB Amounts_Report'!$D$321,0)</f>
        <v>5192</v>
      </c>
      <c r="E116" s="148">
        <f>ROUND(VLOOKUP(A116,'Contribution Allocation_Report'!$A$9:$D$314,4,FALSE)*'OPEB Amounts_Report'!$E$321,0)</f>
        <v>122853</v>
      </c>
      <c r="F116" s="148">
        <f>INDEX('Change in Proportion Layers'!$AE$8:$AE$320,MATCH('OPEB Amounts_Report'!A116,'Change in Proportion Layers'!$A$8:$A$320,0))</f>
        <v>158410</v>
      </c>
      <c r="G116" s="148">
        <f t="shared" si="3"/>
        <v>286455</v>
      </c>
      <c r="H116" s="148"/>
      <c r="I116" s="148">
        <f>ROUND(VLOOKUP(A116,'Contribution Allocation_Report'!$A$9:$D$314,4,FALSE)*'OPEB Amounts_Report'!$I$321,0)</f>
        <v>146695</v>
      </c>
      <c r="J116" s="148">
        <f>ROUND(VLOOKUP(A116,'Contribution Allocation_Report'!$A$9:$D$314,4,FALSE)*'OPEB Amounts_Report'!$J$321,0)</f>
        <v>12916</v>
      </c>
      <c r="K116" s="148">
        <f>ROUND(VLOOKUP(A116,'Contribution Allocation_Report'!$A$9:$D$314,4,FALSE)*$K$321,0)</f>
        <v>393747</v>
      </c>
      <c r="L116" s="148">
        <f>INDEX('Change in Proportion Layers'!$AF$8:$AF$320,MATCH('OPEB Amounts_Report'!A116,'Change in Proportion Layers'!$A$8:$A$320,0))</f>
        <v>161108</v>
      </c>
      <c r="M116" s="148">
        <f t="shared" si="4"/>
        <v>714466</v>
      </c>
      <c r="N116" s="220"/>
      <c r="O116" s="220">
        <f>ROUND(VLOOKUP(A116,'Contribution Allocation_Report'!$A$9:$D$314,4,FALSE)*'OPEB Amounts_Report'!$O$321,0)</f>
        <v>-145991</v>
      </c>
      <c r="P116" s="220">
        <f>INDEX('Change in Proportion Layers'!$AC$8:$AC$320,MATCH('OPEB Amounts_Report'!A116,'Change in Proportion Layers'!$A$8:$A$320,0))</f>
        <v>12021</v>
      </c>
      <c r="Q116" s="220">
        <f t="shared" si="5"/>
        <v>-133970</v>
      </c>
    </row>
    <row r="117" spans="1:17" ht="12" customHeight="1">
      <c r="A117" s="51">
        <v>7021</v>
      </c>
      <c r="B117" s="55" t="s">
        <v>103</v>
      </c>
      <c r="C117" s="147">
        <f>ROUND(VLOOKUP(A117,'Contribution Allocation_Report'!$A$9:$D$314,4,FALSE)*'OPEB Amounts_Report'!$C$321,0)</f>
        <v>27763122</v>
      </c>
      <c r="D117" s="147">
        <f>ROUND(VLOOKUP(A117,'Contribution Allocation_Report'!$A$9:$D$314,4,FALSE)*'OPEB Amounts_Report'!$D$321,0)</f>
        <v>168848</v>
      </c>
      <c r="E117" s="147">
        <f>ROUND(VLOOKUP(A117,'Contribution Allocation_Report'!$A$9:$D$314,4,FALSE)*'OPEB Amounts_Report'!$E$321,0)</f>
        <v>3995090</v>
      </c>
      <c r="F117" s="147">
        <f>INDEX('Change in Proportion Layers'!$AE$8:$AE$320,MATCH('OPEB Amounts_Report'!A117,'Change in Proportion Layers'!$A$8:$A$320,0))</f>
        <v>1201891</v>
      </c>
      <c r="G117" s="147">
        <f t="shared" si="3"/>
        <v>5365829</v>
      </c>
      <c r="H117" s="147"/>
      <c r="I117" s="147">
        <f>ROUND(VLOOKUP(A117,'Contribution Allocation_Report'!$A$9:$D$314,4,FALSE)*'OPEB Amounts_Report'!$I$321,0)</f>
        <v>4770402</v>
      </c>
      <c r="J117" s="147">
        <f>ROUND(VLOOKUP(A117,'Contribution Allocation_Report'!$A$9:$D$314,4,FALSE)*'OPEB Amounts_Report'!$J$321,0)</f>
        <v>420031</v>
      </c>
      <c r="K117" s="147">
        <f>ROUND(VLOOKUP(A117,'Contribution Allocation_Report'!$A$9:$D$314,4,FALSE)*$K$321,0)</f>
        <v>12804322</v>
      </c>
      <c r="L117" s="147">
        <f>INDEX('Change in Proportion Layers'!$AF$8:$AF$320,MATCH('OPEB Amounts_Report'!A117,'Change in Proportion Layers'!$A$8:$A$320,0))</f>
        <v>1609876</v>
      </c>
      <c r="M117" s="147">
        <f t="shared" si="4"/>
        <v>19604631</v>
      </c>
      <c r="N117" s="221"/>
      <c r="O117" s="221">
        <f>ROUND(VLOOKUP(A117,'Contribution Allocation_Report'!$A$9:$D$314,4,FALSE)*'OPEB Amounts_Report'!$O$321,0)</f>
        <v>-4747498</v>
      </c>
      <c r="P117" s="221">
        <f>INDEX('Change in Proportion Layers'!$AC$8:$AC$320,MATCH('OPEB Amounts_Report'!A117,'Change in Proportion Layers'!$A$8:$A$320,0))</f>
        <v>482055</v>
      </c>
      <c r="Q117" s="221">
        <f t="shared" si="5"/>
        <v>-4265443</v>
      </c>
    </row>
    <row r="118" spans="1:17" ht="12" customHeight="1">
      <c r="A118" s="53">
        <v>4140</v>
      </c>
      <c r="B118" s="54" t="s">
        <v>104</v>
      </c>
      <c r="C118" s="148">
        <f>ROUND(VLOOKUP(A118,'Contribution Allocation_Report'!$A$9:$D$314,4,FALSE)*'OPEB Amounts_Report'!$C$321,0)</f>
        <v>173617</v>
      </c>
      <c r="D118" s="148">
        <f>ROUND(VLOOKUP(A118,'Contribution Allocation_Report'!$A$9:$D$314,4,FALSE)*'OPEB Amounts_Report'!$D$321,0)</f>
        <v>1056</v>
      </c>
      <c r="E118" s="148">
        <f>ROUND(VLOOKUP(A118,'Contribution Allocation_Report'!$A$9:$D$314,4,FALSE)*'OPEB Amounts_Report'!$E$321,0)</f>
        <v>24983</v>
      </c>
      <c r="F118" s="148">
        <f>INDEX('Change in Proportion Layers'!$AE$8:$AE$320,MATCH('OPEB Amounts_Report'!A118,'Change in Proportion Layers'!$A$8:$A$320,0))</f>
        <v>36198</v>
      </c>
      <c r="G118" s="148">
        <f t="shared" si="3"/>
        <v>62237</v>
      </c>
      <c r="H118" s="148"/>
      <c r="I118" s="148">
        <f>ROUND(VLOOKUP(A118,'Contribution Allocation_Report'!$A$9:$D$314,4,FALSE)*'OPEB Amounts_Report'!$I$321,0)</f>
        <v>29832</v>
      </c>
      <c r="J118" s="148">
        <f>ROUND(VLOOKUP(A118,'Contribution Allocation_Report'!$A$9:$D$314,4,FALSE)*'OPEB Amounts_Report'!$J$321,0)</f>
        <v>2627</v>
      </c>
      <c r="K118" s="148">
        <f>ROUND(VLOOKUP(A118,'Contribution Allocation_Report'!$A$9:$D$314,4,FALSE)*$K$321,0)</f>
        <v>80072</v>
      </c>
      <c r="L118" s="148">
        <f>INDEX('Change in Proportion Layers'!$AF$8:$AF$320,MATCH('OPEB Amounts_Report'!A118,'Change in Proportion Layers'!$A$8:$A$320,0))</f>
        <v>46942</v>
      </c>
      <c r="M118" s="148">
        <f t="shared" si="4"/>
        <v>159473</v>
      </c>
      <c r="N118" s="220"/>
      <c r="O118" s="220">
        <f>ROUND(VLOOKUP(A118,'Contribution Allocation_Report'!$A$9:$D$314,4,FALSE)*'OPEB Amounts_Report'!$O$321,0)</f>
        <v>-29688</v>
      </c>
      <c r="P118" s="220">
        <f>INDEX('Change in Proportion Layers'!$AC$8:$AC$320,MATCH('OPEB Amounts_Report'!A118,'Change in Proportion Layers'!$A$8:$A$320,0))</f>
        <v>6500</v>
      </c>
      <c r="Q118" s="220">
        <f t="shared" si="5"/>
        <v>-23188</v>
      </c>
    </row>
    <row r="119" spans="1:17" ht="12" customHeight="1">
      <c r="A119" s="51">
        <v>13041</v>
      </c>
      <c r="B119" s="55" t="s">
        <v>105</v>
      </c>
      <c r="C119" s="147">
        <f>ROUND(VLOOKUP(A119,'Contribution Allocation_Report'!$A$9:$D$314,4,FALSE)*'OPEB Amounts_Report'!$C$321,0)</f>
        <v>23434921</v>
      </c>
      <c r="D119" s="147">
        <f>ROUND(VLOOKUP(A119,'Contribution Allocation_Report'!$A$9:$D$314,4,FALSE)*'OPEB Amounts_Report'!$D$321,0)</f>
        <v>142525</v>
      </c>
      <c r="E119" s="147">
        <f>ROUND(VLOOKUP(A119,'Contribution Allocation_Report'!$A$9:$D$314,4,FALSE)*'OPEB Amounts_Report'!$E$321,0)</f>
        <v>3372265</v>
      </c>
      <c r="F119" s="147">
        <f>INDEX('Change in Proportion Layers'!$AE$8:$AE$320,MATCH('OPEB Amounts_Report'!A119,'Change in Proportion Layers'!$A$8:$A$320,0))</f>
        <v>963501</v>
      </c>
      <c r="G119" s="147">
        <f t="shared" si="3"/>
        <v>4478291</v>
      </c>
      <c r="H119" s="147"/>
      <c r="I119" s="147">
        <f>ROUND(VLOOKUP(A119,'Contribution Allocation_Report'!$A$9:$D$314,4,FALSE)*'OPEB Amounts_Report'!$I$321,0)</f>
        <v>4026708</v>
      </c>
      <c r="J119" s="147">
        <f>ROUND(VLOOKUP(A119,'Contribution Allocation_Report'!$A$9:$D$314,4,FALSE)*'OPEB Amounts_Report'!$J$321,0)</f>
        <v>354549</v>
      </c>
      <c r="K119" s="147">
        <f>ROUND(VLOOKUP(A119,'Contribution Allocation_Report'!$A$9:$D$314,4,FALSE)*$K$321,0)</f>
        <v>10808160</v>
      </c>
      <c r="L119" s="147">
        <f>INDEX('Change in Proportion Layers'!$AF$8:$AF$320,MATCH('OPEB Amounts_Report'!A119,'Change in Proportion Layers'!$A$8:$A$320,0))</f>
        <v>3968637</v>
      </c>
      <c r="M119" s="147">
        <f t="shared" si="4"/>
        <v>19158054</v>
      </c>
      <c r="N119" s="221"/>
      <c r="O119" s="221">
        <f>ROUND(VLOOKUP(A119,'Contribution Allocation_Report'!$A$9:$D$314,4,FALSE)*'OPEB Amounts_Report'!$O$321,0)</f>
        <v>-4007375</v>
      </c>
      <c r="P119" s="221">
        <f>INDEX('Change in Proportion Layers'!$AC$8:$AC$320,MATCH('OPEB Amounts_Report'!A119,'Change in Proportion Layers'!$A$8:$A$320,0))</f>
        <v>-1315195</v>
      </c>
      <c r="Q119" s="221">
        <f t="shared" si="5"/>
        <v>-5322570</v>
      </c>
    </row>
    <row r="120" spans="1:17" ht="12" customHeight="1">
      <c r="A120" s="53">
        <v>2339</v>
      </c>
      <c r="B120" s="54" t="s">
        <v>106</v>
      </c>
      <c r="C120" s="148">
        <f>ROUND(VLOOKUP(A120,'Contribution Allocation_Report'!$A$9:$D$314,4,FALSE)*'OPEB Amounts_Report'!$C$321,0)</f>
        <v>374403</v>
      </c>
      <c r="D120" s="148">
        <f>ROUND(VLOOKUP(A120,'Contribution Allocation_Report'!$A$9:$D$314,4,FALSE)*'OPEB Amounts_Report'!$D$321,0)</f>
        <v>2277</v>
      </c>
      <c r="E120" s="148">
        <f>ROUND(VLOOKUP(A120,'Contribution Allocation_Report'!$A$9:$D$314,4,FALSE)*'OPEB Amounts_Report'!$E$321,0)</f>
        <v>53876</v>
      </c>
      <c r="F120" s="148">
        <f>INDEX('Change in Proportion Layers'!$AE$8:$AE$320,MATCH('OPEB Amounts_Report'!A120,'Change in Proportion Layers'!$A$8:$A$320,0))</f>
        <v>103584</v>
      </c>
      <c r="G120" s="148">
        <f t="shared" si="3"/>
        <v>159737</v>
      </c>
      <c r="H120" s="148"/>
      <c r="I120" s="148">
        <f>ROUND(VLOOKUP(A120,'Contribution Allocation_Report'!$A$9:$D$314,4,FALSE)*'OPEB Amounts_Report'!$I$321,0)</f>
        <v>64332</v>
      </c>
      <c r="J120" s="148">
        <f>ROUND(VLOOKUP(A120,'Contribution Allocation_Report'!$A$9:$D$314,4,FALSE)*'OPEB Amounts_Report'!$J$321,0)</f>
        <v>5664</v>
      </c>
      <c r="K120" s="148">
        <f>ROUND(VLOOKUP(A120,'Contribution Allocation_Report'!$A$9:$D$314,4,FALSE)*$K$321,0)</f>
        <v>172674</v>
      </c>
      <c r="L120" s="148">
        <f>INDEX('Change in Proportion Layers'!$AF$8:$AF$320,MATCH('OPEB Amounts_Report'!A120,'Change in Proportion Layers'!$A$8:$A$320,0))</f>
        <v>83958</v>
      </c>
      <c r="M120" s="148">
        <f t="shared" si="4"/>
        <v>326628</v>
      </c>
      <c r="N120" s="220"/>
      <c r="O120" s="220">
        <f>ROUND(VLOOKUP(A120,'Contribution Allocation_Report'!$A$9:$D$314,4,FALSE)*'OPEB Amounts_Report'!$O$321,0)</f>
        <v>-64023</v>
      </c>
      <c r="P120" s="220">
        <f>INDEX('Change in Proportion Layers'!$AC$8:$AC$320,MATCH('OPEB Amounts_Report'!A120,'Change in Proportion Layers'!$A$8:$A$320,0))</f>
        <v>6383</v>
      </c>
      <c r="Q120" s="220">
        <f t="shared" si="5"/>
        <v>-57640</v>
      </c>
    </row>
    <row r="121" spans="1:17" ht="12" customHeight="1">
      <c r="A121" s="51">
        <v>2362</v>
      </c>
      <c r="B121" s="55" t="s">
        <v>107</v>
      </c>
      <c r="C121" s="147">
        <f>ROUND(VLOOKUP(A121,'Contribution Allocation_Report'!$A$9:$D$314,4,FALSE)*'OPEB Amounts_Report'!$C$321,0)</f>
        <v>480444</v>
      </c>
      <c r="D121" s="147">
        <f>ROUND(VLOOKUP(A121,'Contribution Allocation_Report'!$A$9:$D$314,4,FALSE)*'OPEB Amounts_Report'!$D$321,0)</f>
        <v>2922</v>
      </c>
      <c r="E121" s="147">
        <f>ROUND(VLOOKUP(A121,'Contribution Allocation_Report'!$A$9:$D$314,4,FALSE)*'OPEB Amounts_Report'!$E$321,0)</f>
        <v>69136</v>
      </c>
      <c r="F121" s="147">
        <f>INDEX('Change in Proportion Layers'!$AE$8:$AE$320,MATCH('OPEB Amounts_Report'!A121,'Change in Proportion Layers'!$A$8:$A$320,0))</f>
        <v>150030</v>
      </c>
      <c r="G121" s="147">
        <f t="shared" si="3"/>
        <v>222088</v>
      </c>
      <c r="H121" s="147"/>
      <c r="I121" s="147">
        <f>ROUND(VLOOKUP(A121,'Contribution Allocation_Report'!$A$9:$D$314,4,FALSE)*'OPEB Amounts_Report'!$I$321,0)</f>
        <v>82552</v>
      </c>
      <c r="J121" s="147">
        <f>ROUND(VLOOKUP(A121,'Contribution Allocation_Report'!$A$9:$D$314,4,FALSE)*'OPEB Amounts_Report'!$J$321,0)</f>
        <v>7269</v>
      </c>
      <c r="K121" s="147">
        <f>ROUND(VLOOKUP(A121,'Contribution Allocation_Report'!$A$9:$D$314,4,FALSE)*$K$321,0)</f>
        <v>221580</v>
      </c>
      <c r="L121" s="147">
        <f>INDEX('Change in Proportion Layers'!$AF$8:$AF$320,MATCH('OPEB Amounts_Report'!A121,'Change in Proportion Layers'!$A$8:$A$320,0))</f>
        <v>233352</v>
      </c>
      <c r="M121" s="147">
        <f t="shared" si="4"/>
        <v>544753</v>
      </c>
      <c r="N121" s="221"/>
      <c r="O121" s="221">
        <f>ROUND(VLOOKUP(A121,'Contribution Allocation_Report'!$A$9:$D$314,4,FALSE)*'OPEB Amounts_Report'!$O$321,0)</f>
        <v>-82156</v>
      </c>
      <c r="P121" s="221">
        <f>INDEX('Change in Proportion Layers'!$AC$8:$AC$320,MATCH('OPEB Amounts_Report'!A121,'Change in Proportion Layers'!$A$8:$A$320,0))</f>
        <v>-120741</v>
      </c>
      <c r="Q121" s="221">
        <f t="shared" si="5"/>
        <v>-202897</v>
      </c>
    </row>
    <row r="122" spans="1:17" ht="12" customHeight="1">
      <c r="A122" s="53">
        <v>5013</v>
      </c>
      <c r="B122" s="54" t="s">
        <v>108</v>
      </c>
      <c r="C122" s="148">
        <f>ROUND(VLOOKUP(A122,'Contribution Allocation_Report'!$A$9:$D$314,4,FALSE)*'OPEB Amounts_Report'!$C$321,0)</f>
        <v>422270</v>
      </c>
      <c r="D122" s="148">
        <f>ROUND(VLOOKUP(A122,'Contribution Allocation_Report'!$A$9:$D$314,4,FALSE)*'OPEB Amounts_Report'!$D$321,0)</f>
        <v>2568</v>
      </c>
      <c r="E122" s="148">
        <f>ROUND(VLOOKUP(A122,'Contribution Allocation_Report'!$A$9:$D$314,4,FALSE)*'OPEB Amounts_Report'!$E$321,0)</f>
        <v>60764</v>
      </c>
      <c r="F122" s="148">
        <f>INDEX('Change in Proportion Layers'!$AE$8:$AE$320,MATCH('OPEB Amounts_Report'!A122,'Change in Proportion Layers'!$A$8:$A$320,0))</f>
        <v>29151</v>
      </c>
      <c r="G122" s="148">
        <f t="shared" si="3"/>
        <v>92483</v>
      </c>
      <c r="H122" s="148"/>
      <c r="I122" s="148">
        <f>ROUND(VLOOKUP(A122,'Contribution Allocation_Report'!$A$9:$D$314,4,FALSE)*'OPEB Amounts_Report'!$I$321,0)</f>
        <v>72557</v>
      </c>
      <c r="J122" s="148">
        <f>ROUND(VLOOKUP(A122,'Contribution Allocation_Report'!$A$9:$D$314,4,FALSE)*'OPEB Amounts_Report'!$J$321,0)</f>
        <v>6389</v>
      </c>
      <c r="K122" s="148">
        <f>ROUND(VLOOKUP(A122,'Contribution Allocation_Report'!$A$9:$D$314,4,FALSE)*$K$321,0)</f>
        <v>194750</v>
      </c>
      <c r="L122" s="148">
        <f>INDEX('Change in Proportion Layers'!$AF$8:$AF$320,MATCH('OPEB Amounts_Report'!A122,'Change in Proportion Layers'!$A$8:$A$320,0))</f>
        <v>70426</v>
      </c>
      <c r="M122" s="148">
        <f t="shared" si="4"/>
        <v>344122</v>
      </c>
      <c r="N122" s="220"/>
      <c r="O122" s="220">
        <f>ROUND(VLOOKUP(A122,'Contribution Allocation_Report'!$A$9:$D$314,4,FALSE)*'OPEB Amounts_Report'!$O$321,0)</f>
        <v>-72208</v>
      </c>
      <c r="P122" s="220">
        <f>INDEX('Change in Proportion Layers'!$AC$8:$AC$320,MATCH('OPEB Amounts_Report'!A122,'Change in Proportion Layers'!$A$8:$A$320,0))</f>
        <v>-753</v>
      </c>
      <c r="Q122" s="220">
        <f t="shared" si="5"/>
        <v>-72961</v>
      </c>
    </row>
    <row r="123" spans="1:17" ht="12" customHeight="1">
      <c r="A123" s="51">
        <v>3110</v>
      </c>
      <c r="B123" s="55" t="s">
        <v>109</v>
      </c>
      <c r="C123" s="147">
        <f>ROUND(VLOOKUP(A123,'Contribution Allocation_Report'!$A$9:$D$314,4,FALSE)*'OPEB Amounts_Report'!$C$321,0)</f>
        <v>2030884</v>
      </c>
      <c r="D123" s="147">
        <f>ROUND(VLOOKUP(A123,'Contribution Allocation_Report'!$A$9:$D$314,4,FALSE)*'OPEB Amounts_Report'!$D$321,0)</f>
        <v>12351</v>
      </c>
      <c r="E123" s="147">
        <f>ROUND(VLOOKUP(A123,'Contribution Allocation_Report'!$A$9:$D$314,4,FALSE)*'OPEB Amounts_Report'!$E$321,0)</f>
        <v>292242</v>
      </c>
      <c r="F123" s="147">
        <f>INDEX('Change in Proportion Layers'!$AE$8:$AE$320,MATCH('OPEB Amounts_Report'!A123,'Change in Proportion Layers'!$A$8:$A$320,0))</f>
        <v>183414</v>
      </c>
      <c r="G123" s="147">
        <f t="shared" si="3"/>
        <v>488007</v>
      </c>
      <c r="H123" s="147"/>
      <c r="I123" s="147">
        <f>ROUND(VLOOKUP(A123,'Contribution Allocation_Report'!$A$9:$D$314,4,FALSE)*'OPEB Amounts_Report'!$I$321,0)</f>
        <v>348957</v>
      </c>
      <c r="J123" s="147">
        <f>ROUND(VLOOKUP(A123,'Contribution Allocation_Report'!$A$9:$D$314,4,FALSE)*'OPEB Amounts_Report'!$J$321,0)</f>
        <v>30725</v>
      </c>
      <c r="K123" s="147">
        <f>ROUND(VLOOKUP(A123,'Contribution Allocation_Report'!$A$9:$D$314,4,FALSE)*$K$321,0)</f>
        <v>936641</v>
      </c>
      <c r="L123" s="147">
        <f>INDEX('Change in Proportion Layers'!$AF$8:$AF$320,MATCH('OPEB Amounts_Report'!A123,'Change in Proportion Layers'!$A$8:$A$320,0))</f>
        <v>444885</v>
      </c>
      <c r="M123" s="147">
        <f t="shared" si="4"/>
        <v>1761208</v>
      </c>
      <c r="N123" s="221"/>
      <c r="O123" s="221">
        <f>ROUND(VLOOKUP(A123,'Contribution Allocation_Report'!$A$9:$D$314,4,FALSE)*'OPEB Amounts_Report'!$O$321,0)</f>
        <v>-347281</v>
      </c>
      <c r="P123" s="221">
        <f>INDEX('Change in Proportion Layers'!$AC$8:$AC$320,MATCH('OPEB Amounts_Report'!A123,'Change in Proportion Layers'!$A$8:$A$320,0))</f>
        <v>-188676</v>
      </c>
      <c r="Q123" s="221">
        <f t="shared" si="5"/>
        <v>-535957</v>
      </c>
    </row>
    <row r="124" spans="1:17" ht="12" customHeight="1">
      <c r="A124" s="53">
        <v>14044</v>
      </c>
      <c r="B124" s="54" t="s">
        <v>110</v>
      </c>
      <c r="C124" s="148">
        <f>ROUND(VLOOKUP(A124,'Contribution Allocation_Report'!$A$9:$D$314,4,FALSE)*'OPEB Amounts_Report'!$C$321,0)</f>
        <v>6541081</v>
      </c>
      <c r="D124" s="148">
        <f>ROUND(VLOOKUP(A124,'Contribution Allocation_Report'!$A$9:$D$314,4,FALSE)*'OPEB Amounts_Report'!$D$321,0)</f>
        <v>39781</v>
      </c>
      <c r="E124" s="148">
        <f>ROUND(VLOOKUP(A124,'Contribution Allocation_Report'!$A$9:$D$314,4,FALSE)*'OPEB Amounts_Report'!$E$321,0)</f>
        <v>941256</v>
      </c>
      <c r="F124" s="148">
        <f>INDEX('Change in Proportion Layers'!$AE$8:$AE$320,MATCH('OPEB Amounts_Report'!A124,'Change in Proportion Layers'!$A$8:$A$320,0))</f>
        <v>732897</v>
      </c>
      <c r="G124" s="148">
        <f t="shared" si="3"/>
        <v>1713934</v>
      </c>
      <c r="H124" s="148"/>
      <c r="I124" s="148">
        <f>ROUND(VLOOKUP(A124,'Contribution Allocation_Report'!$A$9:$D$314,4,FALSE)*'OPEB Amounts_Report'!$I$321,0)</f>
        <v>1123922</v>
      </c>
      <c r="J124" s="148">
        <f>ROUND(VLOOKUP(A124,'Contribution Allocation_Report'!$A$9:$D$314,4,FALSE)*'OPEB Amounts_Report'!$J$321,0)</f>
        <v>98961</v>
      </c>
      <c r="K124" s="148">
        <f>ROUND(VLOOKUP(A124,'Contribution Allocation_Report'!$A$9:$D$314,4,FALSE)*$K$321,0)</f>
        <v>3016739</v>
      </c>
      <c r="L124" s="148">
        <f>INDEX('Change in Proportion Layers'!$AF$8:$AF$320,MATCH('OPEB Amounts_Report'!A124,'Change in Proportion Layers'!$A$8:$A$320,0))</f>
        <v>1900617</v>
      </c>
      <c r="M124" s="148">
        <f t="shared" si="4"/>
        <v>6140239</v>
      </c>
      <c r="N124" s="220"/>
      <c r="O124" s="220">
        <f>ROUND(VLOOKUP(A124,'Contribution Allocation_Report'!$A$9:$D$314,4,FALSE)*'OPEB Amounts_Report'!$O$321,0)</f>
        <v>-1118526</v>
      </c>
      <c r="P124" s="220">
        <f>INDEX('Change in Proportion Layers'!$AC$8:$AC$320,MATCH('OPEB Amounts_Report'!A124,'Change in Proportion Layers'!$A$8:$A$320,0))</f>
        <v>-153305</v>
      </c>
      <c r="Q124" s="220">
        <f t="shared" si="5"/>
        <v>-1271831</v>
      </c>
    </row>
    <row r="125" spans="1:17" ht="12" customHeight="1">
      <c r="A125" s="51">
        <v>4009</v>
      </c>
      <c r="B125" s="55" t="s">
        <v>111</v>
      </c>
      <c r="C125" s="147">
        <f>ROUND(VLOOKUP(A125,'Contribution Allocation_Report'!$A$9:$D$314,4,FALSE)*'OPEB Amounts_Report'!$C$321,0)</f>
        <v>969096</v>
      </c>
      <c r="D125" s="147">
        <f>ROUND(VLOOKUP(A125,'Contribution Allocation_Report'!$A$9:$D$314,4,FALSE)*'OPEB Amounts_Report'!$D$321,0)</f>
        <v>5894</v>
      </c>
      <c r="E125" s="147">
        <f>ROUND(VLOOKUP(A125,'Contribution Allocation_Report'!$A$9:$D$314,4,FALSE)*'OPEB Amounts_Report'!$E$321,0)</f>
        <v>139452</v>
      </c>
      <c r="F125" s="147">
        <f>INDEX('Change in Proportion Layers'!$AE$8:$AE$320,MATCH('OPEB Amounts_Report'!A125,'Change in Proportion Layers'!$A$8:$A$320,0))</f>
        <v>163616</v>
      </c>
      <c r="G125" s="147">
        <f t="shared" si="3"/>
        <v>308962</v>
      </c>
      <c r="H125" s="147"/>
      <c r="I125" s="147">
        <f>ROUND(VLOOKUP(A125,'Contribution Allocation_Report'!$A$9:$D$314,4,FALSE)*'OPEB Amounts_Report'!$I$321,0)</f>
        <v>166515</v>
      </c>
      <c r="J125" s="147">
        <f>ROUND(VLOOKUP(A125,'Contribution Allocation_Report'!$A$9:$D$314,4,FALSE)*'OPEB Amounts_Report'!$J$321,0)</f>
        <v>14662</v>
      </c>
      <c r="K125" s="147">
        <f>ROUND(VLOOKUP(A125,'Contribution Allocation_Report'!$A$9:$D$314,4,FALSE)*$K$321,0)</f>
        <v>446946</v>
      </c>
      <c r="L125" s="147">
        <f>INDEX('Change in Proportion Layers'!$AF$8:$AF$320,MATCH('OPEB Amounts_Report'!A125,'Change in Proportion Layers'!$A$8:$A$320,0))</f>
        <v>160110</v>
      </c>
      <c r="M125" s="147">
        <f t="shared" si="4"/>
        <v>788233</v>
      </c>
      <c r="N125" s="221"/>
      <c r="O125" s="221">
        <f>ROUND(VLOOKUP(A125,'Contribution Allocation_Report'!$A$9:$D$314,4,FALSE)*'OPEB Amounts_Report'!$O$321,0)</f>
        <v>-165716</v>
      </c>
      <c r="P125" s="221">
        <f>INDEX('Change in Proportion Layers'!$AC$8:$AC$320,MATCH('OPEB Amounts_Report'!A125,'Change in Proportion Layers'!$A$8:$A$320,0))</f>
        <v>-54687</v>
      </c>
      <c r="Q125" s="221">
        <f t="shared" si="5"/>
        <v>-220403</v>
      </c>
    </row>
    <row r="126" spans="1:17" ht="12" customHeight="1">
      <c r="A126" s="53">
        <v>7022</v>
      </c>
      <c r="B126" s="54" t="s">
        <v>112</v>
      </c>
      <c r="C126" s="148">
        <f>ROUND(VLOOKUP(A126,'Contribution Allocation_Report'!$A$9:$D$314,4,FALSE)*'OPEB Amounts_Report'!$C$321,0)</f>
        <v>2861442</v>
      </c>
      <c r="D126" s="148">
        <f>ROUND(VLOOKUP(A126,'Contribution Allocation_Report'!$A$9:$D$314,4,FALSE)*'OPEB Amounts_Report'!$D$321,0)</f>
        <v>17403</v>
      </c>
      <c r="E126" s="148">
        <f>ROUND(VLOOKUP(A126,'Contribution Allocation_Report'!$A$9:$D$314,4,FALSE)*'OPEB Amounts_Report'!$E$321,0)</f>
        <v>411759</v>
      </c>
      <c r="F126" s="148">
        <f>INDEX('Change in Proportion Layers'!$AE$8:$AE$320,MATCH('OPEB Amounts_Report'!A126,'Change in Proportion Layers'!$A$8:$A$320,0))</f>
        <v>494316</v>
      </c>
      <c r="G126" s="148">
        <f t="shared" si="3"/>
        <v>923478</v>
      </c>
      <c r="H126" s="148"/>
      <c r="I126" s="148">
        <f>ROUND(VLOOKUP(A126,'Contribution Allocation_Report'!$A$9:$D$314,4,FALSE)*'OPEB Amounts_Report'!$I$321,0)</f>
        <v>491668</v>
      </c>
      <c r="J126" s="148">
        <f>ROUND(VLOOKUP(A126,'Contribution Allocation_Report'!$A$9:$D$314,4,FALSE)*'OPEB Amounts_Report'!$J$321,0)</f>
        <v>43291</v>
      </c>
      <c r="K126" s="148">
        <f>ROUND(VLOOKUP(A126,'Contribution Allocation_Report'!$A$9:$D$314,4,FALSE)*$K$321,0)</f>
        <v>1319694</v>
      </c>
      <c r="L126" s="148">
        <f>INDEX('Change in Proportion Layers'!$AF$8:$AF$320,MATCH('OPEB Amounts_Report'!A126,'Change in Proportion Layers'!$A$8:$A$320,0))</f>
        <v>281072</v>
      </c>
      <c r="M126" s="148">
        <f t="shared" si="4"/>
        <v>2135725</v>
      </c>
      <c r="N126" s="220"/>
      <c r="O126" s="220">
        <f>ROUND(VLOOKUP(A126,'Contribution Allocation_Report'!$A$9:$D$314,4,FALSE)*'OPEB Amounts_Report'!$O$321,0)</f>
        <v>-489307</v>
      </c>
      <c r="P126" s="220">
        <f>INDEX('Change in Proportion Layers'!$AC$8:$AC$320,MATCH('OPEB Amounts_Report'!A126,'Change in Proportion Layers'!$A$8:$A$320,0))</f>
        <v>156491</v>
      </c>
      <c r="Q126" s="220">
        <f t="shared" si="5"/>
        <v>-332816</v>
      </c>
    </row>
    <row r="127" spans="1:17" ht="12" customHeight="1">
      <c r="A127" s="51">
        <v>2430</v>
      </c>
      <c r="B127" s="55" t="s">
        <v>113</v>
      </c>
      <c r="C127" s="147">
        <f>ROUND(VLOOKUP(A127,'Contribution Allocation_Report'!$A$9:$D$314,4,FALSE)*'OPEB Amounts_Report'!$C$321,0)</f>
        <v>339301</v>
      </c>
      <c r="D127" s="147">
        <f>ROUND(VLOOKUP(A127,'Contribution Allocation_Report'!$A$9:$D$314,4,FALSE)*'OPEB Amounts_Report'!$D$321,0)</f>
        <v>2064</v>
      </c>
      <c r="E127" s="147">
        <f>ROUND(VLOOKUP(A127,'Contribution Allocation_Report'!$A$9:$D$314,4,FALSE)*'OPEB Amounts_Report'!$E$321,0)</f>
        <v>48825</v>
      </c>
      <c r="F127" s="147">
        <f>INDEX('Change in Proportion Layers'!$AE$8:$AE$320,MATCH('OPEB Amounts_Report'!A127,'Change in Proportion Layers'!$A$8:$A$320,0))</f>
        <v>0</v>
      </c>
      <c r="G127" s="147">
        <f t="shared" si="3"/>
        <v>50889</v>
      </c>
      <c r="H127" s="147"/>
      <c r="I127" s="147">
        <f>ROUND(VLOOKUP(A127,'Contribution Allocation_Report'!$A$9:$D$314,4,FALSE)*'OPEB Amounts_Report'!$I$321,0)</f>
        <v>58300</v>
      </c>
      <c r="J127" s="147">
        <f>ROUND(VLOOKUP(A127,'Contribution Allocation_Report'!$A$9:$D$314,4,FALSE)*'OPEB Amounts_Report'!$J$321,0)</f>
        <v>5133</v>
      </c>
      <c r="K127" s="147">
        <f>ROUND(VLOOKUP(A127,'Contribution Allocation_Report'!$A$9:$D$314,4,FALSE)*$K$321,0)</f>
        <v>156485</v>
      </c>
      <c r="L127" s="147">
        <f>INDEX('Change in Proportion Layers'!$AF$8:$AF$320,MATCH('OPEB Amounts_Report'!A127,'Change in Proportion Layers'!$A$8:$A$320,0))</f>
        <v>94879</v>
      </c>
      <c r="M127" s="147">
        <f t="shared" si="4"/>
        <v>314797</v>
      </c>
      <c r="N127" s="221"/>
      <c r="O127" s="221">
        <f>ROUND(VLOOKUP(A127,'Contribution Allocation_Report'!$A$9:$D$314,4,FALSE)*'OPEB Amounts_Report'!$O$321,0)</f>
        <v>-58021</v>
      </c>
      <c r="P127" s="221">
        <f>INDEX('Change in Proportion Layers'!$AC$8:$AC$320,MATCH('OPEB Amounts_Report'!A127,'Change in Proportion Layers'!$A$8:$A$320,0))</f>
        <v>-71111</v>
      </c>
      <c r="Q127" s="221">
        <f t="shared" si="5"/>
        <v>-129132</v>
      </c>
    </row>
    <row r="128" spans="1:17" ht="12" customHeight="1">
      <c r="A128" s="53">
        <v>9150</v>
      </c>
      <c r="B128" s="54" t="s">
        <v>114</v>
      </c>
      <c r="C128" s="148">
        <f>ROUND(VLOOKUP(A128,'Contribution Allocation_Report'!$A$9:$D$314,4,FALSE)*'OPEB Amounts_Report'!$C$321,0)</f>
        <v>169392</v>
      </c>
      <c r="D128" s="148">
        <f>ROUND(VLOOKUP(A128,'Contribution Allocation_Report'!$A$9:$D$314,4,FALSE)*'OPEB Amounts_Report'!$D$321,0)</f>
        <v>1030</v>
      </c>
      <c r="E128" s="148">
        <f>ROUND(VLOOKUP(A128,'Contribution Allocation_Report'!$A$9:$D$314,4,FALSE)*'OPEB Amounts_Report'!$E$321,0)</f>
        <v>24375</v>
      </c>
      <c r="F128" s="148">
        <f>INDEX('Change in Proportion Layers'!$AE$8:$AE$320,MATCH('OPEB Amounts_Report'!A128,'Change in Proportion Layers'!$A$8:$A$320,0))</f>
        <v>31546</v>
      </c>
      <c r="G128" s="148">
        <f t="shared" si="3"/>
        <v>56951</v>
      </c>
      <c r="H128" s="148"/>
      <c r="I128" s="148">
        <f>ROUND(VLOOKUP(A128,'Contribution Allocation_Report'!$A$9:$D$314,4,FALSE)*'OPEB Amounts_Report'!$I$321,0)</f>
        <v>29106</v>
      </c>
      <c r="J128" s="148">
        <f>ROUND(VLOOKUP(A128,'Contribution Allocation_Report'!$A$9:$D$314,4,FALSE)*'OPEB Amounts_Report'!$J$321,0)</f>
        <v>2563</v>
      </c>
      <c r="K128" s="148">
        <f>ROUND(VLOOKUP(A128,'Contribution Allocation_Report'!$A$9:$D$314,4,FALSE)*$K$321,0)</f>
        <v>78124</v>
      </c>
      <c r="L128" s="148">
        <f>INDEX('Change in Proportion Layers'!$AF$8:$AF$320,MATCH('OPEB Amounts_Report'!A128,'Change in Proportion Layers'!$A$8:$A$320,0))</f>
        <v>106423</v>
      </c>
      <c r="M128" s="148">
        <f t="shared" si="4"/>
        <v>216216</v>
      </c>
      <c r="N128" s="220"/>
      <c r="O128" s="220">
        <f>ROUND(VLOOKUP(A128,'Contribution Allocation_Report'!$A$9:$D$314,4,FALSE)*'OPEB Amounts_Report'!$O$321,0)</f>
        <v>-28966</v>
      </c>
      <c r="P128" s="220">
        <f>INDEX('Change in Proportion Layers'!$AC$8:$AC$320,MATCH('OPEB Amounts_Report'!A128,'Change in Proportion Layers'!$A$8:$A$320,0))</f>
        <v>-131016</v>
      </c>
      <c r="Q128" s="220">
        <f t="shared" si="5"/>
        <v>-159982</v>
      </c>
    </row>
    <row r="129" spans="1:17" ht="12" customHeight="1">
      <c r="A129" s="51">
        <v>6017</v>
      </c>
      <c r="B129" s="55" t="s">
        <v>115</v>
      </c>
      <c r="C129" s="147">
        <f>ROUND(VLOOKUP(A129,'Contribution Allocation_Report'!$A$9:$D$314,4,FALSE)*'OPEB Amounts_Report'!$C$321,0)</f>
        <v>19345479</v>
      </c>
      <c r="D129" s="147">
        <f>ROUND(VLOOKUP(A129,'Contribution Allocation_Report'!$A$9:$D$314,4,FALSE)*'OPEB Amounts_Report'!$D$321,0)</f>
        <v>117654</v>
      </c>
      <c r="E129" s="147">
        <f>ROUND(VLOOKUP(A129,'Contribution Allocation_Report'!$A$9:$D$314,4,FALSE)*'OPEB Amounts_Report'!$E$321,0)</f>
        <v>2783798</v>
      </c>
      <c r="F129" s="147">
        <f>INDEX('Change in Proportion Layers'!$AE$8:$AE$320,MATCH('OPEB Amounts_Report'!A129,'Change in Proportion Layers'!$A$8:$A$320,0))</f>
        <v>1799581</v>
      </c>
      <c r="G129" s="147">
        <f t="shared" si="3"/>
        <v>4701033</v>
      </c>
      <c r="H129" s="147"/>
      <c r="I129" s="147">
        <f>ROUND(VLOOKUP(A129,'Contribution Allocation_Report'!$A$9:$D$314,4,FALSE)*'OPEB Amounts_Report'!$I$321,0)</f>
        <v>3324039</v>
      </c>
      <c r="J129" s="147">
        <f>ROUND(VLOOKUP(A129,'Contribution Allocation_Report'!$A$9:$D$314,4,FALSE)*'OPEB Amounts_Report'!$J$321,0)</f>
        <v>292679</v>
      </c>
      <c r="K129" s="147">
        <f>ROUND(VLOOKUP(A129,'Contribution Allocation_Report'!$A$9:$D$314,4,FALSE)*$K$321,0)</f>
        <v>8922114</v>
      </c>
      <c r="L129" s="147">
        <f>INDEX('Change in Proportion Layers'!$AF$8:$AF$320,MATCH('OPEB Amounts_Report'!A129,'Change in Proportion Layers'!$A$8:$A$320,0))</f>
        <v>1750559</v>
      </c>
      <c r="M129" s="147">
        <f t="shared" si="4"/>
        <v>14289391</v>
      </c>
      <c r="N129" s="221"/>
      <c r="O129" s="221">
        <f>ROUND(VLOOKUP(A129,'Contribution Allocation_Report'!$A$9:$D$314,4,FALSE)*'OPEB Amounts_Report'!$O$321,0)</f>
        <v>-3308080</v>
      </c>
      <c r="P129" s="221">
        <f>INDEX('Change in Proportion Layers'!$AC$8:$AC$320,MATCH('OPEB Amounts_Report'!A129,'Change in Proportion Layers'!$A$8:$A$320,0))</f>
        <v>1002041</v>
      </c>
      <c r="Q129" s="221">
        <f t="shared" si="5"/>
        <v>-2306039</v>
      </c>
    </row>
    <row r="130" spans="1:17" ht="12" customHeight="1">
      <c r="A130" s="53">
        <v>26080</v>
      </c>
      <c r="B130" s="54" t="s">
        <v>116</v>
      </c>
      <c r="C130" s="148">
        <f>ROUND(VLOOKUP(A130,'Contribution Allocation_Report'!$A$9:$D$314,4,FALSE)*'OPEB Amounts_Report'!$C$321,0)</f>
        <v>428285</v>
      </c>
      <c r="D130" s="148">
        <f>ROUND(VLOOKUP(A130,'Contribution Allocation_Report'!$A$9:$D$314,4,FALSE)*'OPEB Amounts_Report'!$D$321,0)</f>
        <v>2605</v>
      </c>
      <c r="E130" s="148">
        <f>ROUND(VLOOKUP(A130,'Contribution Allocation_Report'!$A$9:$D$314,4,FALSE)*'OPEB Amounts_Report'!$E$321,0)</f>
        <v>61630</v>
      </c>
      <c r="F130" s="148">
        <f>INDEX('Change in Proportion Layers'!$AE$8:$AE$320,MATCH('OPEB Amounts_Report'!A130,'Change in Proportion Layers'!$A$8:$A$320,0))</f>
        <v>95692</v>
      </c>
      <c r="G130" s="148">
        <f t="shared" si="3"/>
        <v>159927</v>
      </c>
      <c r="H130" s="148"/>
      <c r="I130" s="148">
        <f>ROUND(VLOOKUP(A130,'Contribution Allocation_Report'!$A$9:$D$314,4,FALSE)*'OPEB Amounts_Report'!$I$321,0)</f>
        <v>73590</v>
      </c>
      <c r="J130" s="148">
        <f>ROUND(VLOOKUP(A130,'Contribution Allocation_Report'!$A$9:$D$314,4,FALSE)*'OPEB Amounts_Report'!$J$321,0)</f>
        <v>6480</v>
      </c>
      <c r="K130" s="148">
        <f>ROUND(VLOOKUP(A130,'Contribution Allocation_Report'!$A$9:$D$314,4,FALSE)*$K$321,0)</f>
        <v>197525</v>
      </c>
      <c r="L130" s="148">
        <f>INDEX('Change in Proportion Layers'!$AF$8:$AF$320,MATCH('OPEB Amounts_Report'!A130,'Change in Proportion Layers'!$A$8:$A$320,0))</f>
        <v>276629</v>
      </c>
      <c r="M130" s="148">
        <f t="shared" si="4"/>
        <v>554224</v>
      </c>
      <c r="N130" s="220"/>
      <c r="O130" s="220">
        <f>ROUND(VLOOKUP(A130,'Contribution Allocation_Report'!$A$9:$D$314,4,FALSE)*'OPEB Amounts_Report'!$O$321,0)</f>
        <v>-73237</v>
      </c>
      <c r="P130" s="220">
        <f>INDEX('Change in Proportion Layers'!$AC$8:$AC$320,MATCH('OPEB Amounts_Report'!A130,'Change in Proportion Layers'!$A$8:$A$320,0))</f>
        <v>-5580</v>
      </c>
      <c r="Q130" s="220">
        <f t="shared" si="5"/>
        <v>-78817</v>
      </c>
    </row>
    <row r="131" spans="1:17" ht="12" customHeight="1">
      <c r="A131" s="51">
        <v>2327</v>
      </c>
      <c r="B131" s="55" t="s">
        <v>117</v>
      </c>
      <c r="C131" s="147">
        <f>ROUND(VLOOKUP(A131,'Contribution Allocation_Report'!$A$9:$D$314,4,FALSE)*'OPEB Amounts_Report'!$C$321,0)</f>
        <v>703879</v>
      </c>
      <c r="D131" s="147">
        <f>ROUND(VLOOKUP(A131,'Contribution Allocation_Report'!$A$9:$D$314,4,FALSE)*'OPEB Amounts_Report'!$D$321,0)</f>
        <v>4281</v>
      </c>
      <c r="E131" s="147">
        <f>ROUND(VLOOKUP(A131,'Contribution Allocation_Report'!$A$9:$D$314,4,FALSE)*'OPEB Amounts_Report'!$E$321,0)</f>
        <v>101288</v>
      </c>
      <c r="F131" s="147">
        <f>INDEX('Change in Proportion Layers'!$AE$8:$AE$320,MATCH('OPEB Amounts_Report'!A131,'Change in Proportion Layers'!$A$8:$A$320,0))</f>
        <v>64979</v>
      </c>
      <c r="G131" s="147">
        <f t="shared" si="3"/>
        <v>170548</v>
      </c>
      <c r="H131" s="147"/>
      <c r="I131" s="147">
        <f>ROUND(VLOOKUP(A131,'Contribution Allocation_Report'!$A$9:$D$314,4,FALSE)*'OPEB Amounts_Report'!$I$321,0)</f>
        <v>120944</v>
      </c>
      <c r="J131" s="147">
        <f>ROUND(VLOOKUP(A131,'Contribution Allocation_Report'!$A$9:$D$314,4,FALSE)*'OPEB Amounts_Report'!$J$321,0)</f>
        <v>10649</v>
      </c>
      <c r="K131" s="147">
        <f>ROUND(VLOOKUP(A131,'Contribution Allocation_Report'!$A$9:$D$314,4,FALSE)*$K$321,0)</f>
        <v>324628</v>
      </c>
      <c r="L131" s="147">
        <f>INDEX('Change in Proportion Layers'!$AF$8:$AF$320,MATCH('OPEB Amounts_Report'!A131,'Change in Proportion Layers'!$A$8:$A$320,0))</f>
        <v>64543</v>
      </c>
      <c r="M131" s="147">
        <f t="shared" si="4"/>
        <v>520764</v>
      </c>
      <c r="N131" s="221"/>
      <c r="O131" s="221">
        <f>ROUND(VLOOKUP(A131,'Contribution Allocation_Report'!$A$9:$D$314,4,FALSE)*'OPEB Amounts_Report'!$O$321,0)</f>
        <v>-120363</v>
      </c>
      <c r="P131" s="221">
        <f>INDEX('Change in Proportion Layers'!$AC$8:$AC$320,MATCH('OPEB Amounts_Report'!A131,'Change in Proportion Layers'!$A$8:$A$320,0))</f>
        <v>-976</v>
      </c>
      <c r="Q131" s="221">
        <f t="shared" si="5"/>
        <v>-121339</v>
      </c>
    </row>
    <row r="132" spans="1:17" ht="12" customHeight="1">
      <c r="A132" s="53">
        <v>10119</v>
      </c>
      <c r="B132" s="54" t="s">
        <v>118</v>
      </c>
      <c r="C132" s="148">
        <f>ROUND(VLOOKUP(A132,'Contribution Allocation_Report'!$A$9:$D$314,4,FALSE)*'OPEB Amounts_Report'!$C$321,0)</f>
        <v>350149</v>
      </c>
      <c r="D132" s="148">
        <f>ROUND(VLOOKUP(A132,'Contribution Allocation_Report'!$A$9:$D$314,4,FALSE)*'OPEB Amounts_Report'!$D$321,0)</f>
        <v>2130</v>
      </c>
      <c r="E132" s="148">
        <f>ROUND(VLOOKUP(A132,'Contribution Allocation_Report'!$A$9:$D$314,4,FALSE)*'OPEB Amounts_Report'!$E$321,0)</f>
        <v>50386</v>
      </c>
      <c r="F132" s="148">
        <f>INDEX('Change in Proportion Layers'!$AE$8:$AE$320,MATCH('OPEB Amounts_Report'!A132,'Change in Proportion Layers'!$A$8:$A$320,0))</f>
        <v>67484</v>
      </c>
      <c r="G132" s="148">
        <f t="shared" si="3"/>
        <v>120000</v>
      </c>
      <c r="H132" s="148"/>
      <c r="I132" s="148">
        <f>ROUND(VLOOKUP(A132,'Contribution Allocation_Report'!$A$9:$D$314,4,FALSE)*'OPEB Amounts_Report'!$I$321,0)</f>
        <v>60164</v>
      </c>
      <c r="J132" s="148">
        <f>ROUND(VLOOKUP(A132,'Contribution Allocation_Report'!$A$9:$D$314,4,FALSE)*'OPEB Amounts_Report'!$J$321,0)</f>
        <v>5297</v>
      </c>
      <c r="K132" s="148">
        <f>ROUND(VLOOKUP(A132,'Contribution Allocation_Report'!$A$9:$D$314,4,FALSE)*$K$321,0)</f>
        <v>161488</v>
      </c>
      <c r="L132" s="148">
        <f>INDEX('Change in Proportion Layers'!$AF$8:$AF$320,MATCH('OPEB Amounts_Report'!A132,'Change in Proportion Layers'!$A$8:$A$320,0))</f>
        <v>84518</v>
      </c>
      <c r="M132" s="148">
        <f t="shared" si="4"/>
        <v>311467</v>
      </c>
      <c r="N132" s="220"/>
      <c r="O132" s="220">
        <f>ROUND(VLOOKUP(A132,'Contribution Allocation_Report'!$A$9:$D$314,4,FALSE)*'OPEB Amounts_Report'!$O$321,0)</f>
        <v>-59875</v>
      </c>
      <c r="P132" s="220">
        <f>INDEX('Change in Proportion Layers'!$AC$8:$AC$320,MATCH('OPEB Amounts_Report'!A132,'Change in Proportion Layers'!$A$8:$A$320,0))</f>
        <v>-22363</v>
      </c>
      <c r="Q132" s="220">
        <f t="shared" si="5"/>
        <v>-82238</v>
      </c>
    </row>
    <row r="133" spans="1:17" ht="12" customHeight="1">
      <c r="A133" s="51">
        <v>13436</v>
      </c>
      <c r="B133" s="55" t="s">
        <v>394</v>
      </c>
      <c r="C133" s="147">
        <f>ROUND(VLOOKUP(A133,'Contribution Allocation_Report'!$A$9:$D$314,4,FALSE)*'OPEB Amounts_Report'!$C$321,0)</f>
        <v>1803684</v>
      </c>
      <c r="D133" s="147">
        <f>ROUND(VLOOKUP(A133,'Contribution Allocation_Report'!$A$9:$D$314,4,FALSE)*'OPEB Amounts_Report'!$D$321,0)</f>
        <v>10970</v>
      </c>
      <c r="E133" s="147">
        <f>ROUND(VLOOKUP(A133,'Contribution Allocation_Report'!$A$9:$D$314,4,FALSE)*'OPEB Amounts_Report'!$E$321,0)</f>
        <v>259549</v>
      </c>
      <c r="F133" s="147">
        <f>INDEX('Change in Proportion Layers'!$AE$8:$AE$320,MATCH('OPEB Amounts_Report'!A133,'Change in Proportion Layers'!$A$8:$A$320,0))</f>
        <v>1545313</v>
      </c>
      <c r="G133" s="147">
        <f t="shared" si="3"/>
        <v>1815832</v>
      </c>
      <c r="H133" s="147"/>
      <c r="I133" s="147">
        <f>ROUND(VLOOKUP(A133,'Contribution Allocation_Report'!$A$9:$D$314,4,FALSE)*'OPEB Amounts_Report'!$I$321,0)</f>
        <v>309918</v>
      </c>
      <c r="J133" s="147">
        <f>ROUND(VLOOKUP(A133,'Contribution Allocation_Report'!$A$9:$D$314,4,FALSE)*'OPEB Amounts_Report'!$J$321,0)</f>
        <v>27288</v>
      </c>
      <c r="K133" s="147">
        <f>ROUND(VLOOKUP(A133,'Contribution Allocation_Report'!$A$9:$D$314,4,FALSE)*$K$321,0)</f>
        <v>831857</v>
      </c>
      <c r="L133" s="147">
        <f>INDEX('Change in Proportion Layers'!$AF$8:$AF$320,MATCH('OPEB Amounts_Report'!A133,'Change in Proportion Layers'!$A$8:$A$320,0))</f>
        <v>0</v>
      </c>
      <c r="M133" s="147">
        <f t="shared" si="4"/>
        <v>1169063</v>
      </c>
      <c r="N133" s="221"/>
      <c r="O133" s="221">
        <f>ROUND(VLOOKUP(A133,'Contribution Allocation_Report'!$A$9:$D$314,4,FALSE)*'OPEB Amounts_Report'!$O$321,0)</f>
        <v>-308430</v>
      </c>
      <c r="P133" s="221">
        <f>INDEX('Change in Proportion Layers'!$AC$8:$AC$320,MATCH('OPEB Amounts_Report'!A133,'Change in Proportion Layers'!$A$8:$A$320,0))</f>
        <v>682460</v>
      </c>
      <c r="Q133" s="221">
        <f t="shared" si="5"/>
        <v>374030</v>
      </c>
    </row>
    <row r="134" spans="1:17" ht="12" customHeight="1">
      <c r="A134" s="53">
        <v>2368</v>
      </c>
      <c r="B134" s="54" t="s">
        <v>119</v>
      </c>
      <c r="C134" s="148">
        <f>ROUND(VLOOKUP(A134,'Contribution Allocation_Report'!$A$9:$D$314,4,FALSE)*'OPEB Amounts_Report'!$C$321,0)</f>
        <v>748658</v>
      </c>
      <c r="D134" s="148">
        <f>ROUND(VLOOKUP(A134,'Contribution Allocation_Report'!$A$9:$D$314,4,FALSE)*'OPEB Amounts_Report'!$D$321,0)</f>
        <v>4553</v>
      </c>
      <c r="E134" s="148">
        <f>ROUND(VLOOKUP(A134,'Contribution Allocation_Report'!$A$9:$D$314,4,FALSE)*'OPEB Amounts_Report'!$E$321,0)</f>
        <v>107731</v>
      </c>
      <c r="F134" s="148">
        <f>INDEX('Change in Proportion Layers'!$AE$8:$AE$320,MATCH('OPEB Amounts_Report'!A134,'Change in Proportion Layers'!$A$8:$A$320,0))</f>
        <v>266733</v>
      </c>
      <c r="G134" s="148">
        <f t="shared" si="3"/>
        <v>379017</v>
      </c>
      <c r="H134" s="148"/>
      <c r="I134" s="148">
        <f>ROUND(VLOOKUP(A134,'Contribution Allocation_Report'!$A$9:$D$314,4,FALSE)*'OPEB Amounts_Report'!$I$321,0)</f>
        <v>128638</v>
      </c>
      <c r="J134" s="148">
        <f>ROUND(VLOOKUP(A134,'Contribution Allocation_Report'!$A$9:$D$314,4,FALSE)*'OPEB Amounts_Report'!$J$321,0)</f>
        <v>11327</v>
      </c>
      <c r="K134" s="148">
        <f>ROUND(VLOOKUP(A134,'Contribution Allocation_Report'!$A$9:$D$314,4,FALSE)*$K$321,0)</f>
        <v>345280</v>
      </c>
      <c r="L134" s="148">
        <f>INDEX('Change in Proportion Layers'!$AF$8:$AF$320,MATCH('OPEB Amounts_Report'!A134,'Change in Proportion Layers'!$A$8:$A$320,0))</f>
        <v>163746</v>
      </c>
      <c r="M134" s="148">
        <f t="shared" si="4"/>
        <v>648991</v>
      </c>
      <c r="N134" s="220"/>
      <c r="O134" s="220">
        <f>ROUND(VLOOKUP(A134,'Contribution Allocation_Report'!$A$9:$D$314,4,FALSE)*'OPEB Amounts_Report'!$O$321,0)</f>
        <v>-128021</v>
      </c>
      <c r="P134" s="220">
        <f>INDEX('Change in Proportion Layers'!$AC$8:$AC$320,MATCH('OPEB Amounts_Report'!A134,'Change in Proportion Layers'!$A$8:$A$320,0))</f>
        <v>84140</v>
      </c>
      <c r="Q134" s="220">
        <f t="shared" si="5"/>
        <v>-43881</v>
      </c>
    </row>
    <row r="135" spans="1:17" ht="12" customHeight="1">
      <c r="A135" s="51">
        <v>7420</v>
      </c>
      <c r="B135" s="55" t="s">
        <v>120</v>
      </c>
      <c r="C135" s="147">
        <f>ROUND(VLOOKUP(A135,'Contribution Allocation_Report'!$A$9:$D$314,4,FALSE)*'OPEB Amounts_Report'!$C$321,0)</f>
        <v>440625</v>
      </c>
      <c r="D135" s="147">
        <f>ROUND(VLOOKUP(A135,'Contribution Allocation_Report'!$A$9:$D$314,4,FALSE)*'OPEB Amounts_Report'!$D$321,0)</f>
        <v>2680</v>
      </c>
      <c r="E135" s="147">
        <f>ROUND(VLOOKUP(A135,'Contribution Allocation_Report'!$A$9:$D$314,4,FALSE)*'OPEB Amounts_Report'!$E$321,0)</f>
        <v>63405</v>
      </c>
      <c r="F135" s="147">
        <f>INDEX('Change in Proportion Layers'!$AE$8:$AE$320,MATCH('OPEB Amounts_Report'!A135,'Change in Proportion Layers'!$A$8:$A$320,0))</f>
        <v>97386</v>
      </c>
      <c r="G135" s="147">
        <f t="shared" si="3"/>
        <v>163471</v>
      </c>
      <c r="H135" s="147"/>
      <c r="I135" s="147">
        <f>ROUND(VLOOKUP(A135,'Contribution Allocation_Report'!$A$9:$D$314,4,FALSE)*'OPEB Amounts_Report'!$I$321,0)</f>
        <v>75710</v>
      </c>
      <c r="J135" s="147">
        <f>ROUND(VLOOKUP(A135,'Contribution Allocation_Report'!$A$9:$D$314,4,FALSE)*'OPEB Amounts_Report'!$J$321,0)</f>
        <v>6666</v>
      </c>
      <c r="K135" s="147">
        <f>ROUND(VLOOKUP(A135,'Contribution Allocation_Report'!$A$9:$D$314,4,FALSE)*$K$321,0)</f>
        <v>203216</v>
      </c>
      <c r="L135" s="147">
        <f>INDEX('Change in Proportion Layers'!$AF$8:$AF$320,MATCH('OPEB Amounts_Report'!A135,'Change in Proportion Layers'!$A$8:$A$320,0))</f>
        <v>0</v>
      </c>
      <c r="M135" s="147">
        <f t="shared" si="4"/>
        <v>285592</v>
      </c>
      <c r="N135" s="221"/>
      <c r="O135" s="221">
        <f>ROUND(VLOOKUP(A135,'Contribution Allocation_Report'!$A$9:$D$314,4,FALSE)*'OPEB Amounts_Report'!$O$321,0)</f>
        <v>-75347</v>
      </c>
      <c r="P135" s="221">
        <f>INDEX('Change in Proportion Layers'!$AC$8:$AC$320,MATCH('OPEB Amounts_Report'!A135,'Change in Proportion Layers'!$A$8:$A$320,0))</f>
        <v>40067</v>
      </c>
      <c r="Q135" s="221">
        <f t="shared" si="5"/>
        <v>-35280</v>
      </c>
    </row>
    <row r="136" spans="1:17" ht="12" customHeight="1">
      <c r="A136" s="53">
        <v>6018</v>
      </c>
      <c r="B136" s="54" t="s">
        <v>121</v>
      </c>
      <c r="C136" s="148">
        <f>ROUND(VLOOKUP(A136,'Contribution Allocation_Report'!$A$9:$D$314,4,FALSE)*'OPEB Amounts_Report'!$C$321,0)</f>
        <v>1682789</v>
      </c>
      <c r="D136" s="148">
        <f>ROUND(VLOOKUP(A136,'Contribution Allocation_Report'!$A$9:$D$314,4,FALSE)*'OPEB Amounts_Report'!$D$321,0)</f>
        <v>10234</v>
      </c>
      <c r="E136" s="148">
        <f>ROUND(VLOOKUP(A136,'Contribution Allocation_Report'!$A$9:$D$314,4,FALSE)*'OPEB Amounts_Report'!$E$321,0)</f>
        <v>242152</v>
      </c>
      <c r="F136" s="148">
        <f>INDEX('Change in Proportion Layers'!$AE$8:$AE$320,MATCH('OPEB Amounts_Report'!A136,'Change in Proportion Layers'!$A$8:$A$320,0))</f>
        <v>781413</v>
      </c>
      <c r="G136" s="148">
        <f t="shared" si="3"/>
        <v>1033799</v>
      </c>
      <c r="H136" s="148"/>
      <c r="I136" s="148">
        <f>ROUND(VLOOKUP(A136,'Contribution Allocation_Report'!$A$9:$D$314,4,FALSE)*'OPEB Amounts_Report'!$I$321,0)</f>
        <v>289145</v>
      </c>
      <c r="J136" s="148">
        <f>ROUND(VLOOKUP(A136,'Contribution Allocation_Report'!$A$9:$D$314,4,FALSE)*'OPEB Amounts_Report'!$J$321,0)</f>
        <v>25459</v>
      </c>
      <c r="K136" s="148">
        <f>ROUND(VLOOKUP(A136,'Contribution Allocation_Report'!$A$9:$D$314,4,FALSE)*$K$321,0)</f>
        <v>776101</v>
      </c>
      <c r="L136" s="148">
        <f>INDEX('Change in Proportion Layers'!$AF$8:$AF$320,MATCH('OPEB Amounts_Report'!A136,'Change in Proportion Layers'!$A$8:$A$320,0))</f>
        <v>6354</v>
      </c>
      <c r="M136" s="148">
        <f t="shared" si="4"/>
        <v>1097059</v>
      </c>
      <c r="N136" s="220"/>
      <c r="O136" s="220">
        <f>ROUND(VLOOKUP(A136,'Contribution Allocation_Report'!$A$9:$D$314,4,FALSE)*'OPEB Amounts_Report'!$O$321,0)</f>
        <v>-287757</v>
      </c>
      <c r="P136" s="220">
        <f>INDEX('Change in Proportion Layers'!$AC$8:$AC$320,MATCH('OPEB Amounts_Report'!A136,'Change in Proportion Layers'!$A$8:$A$320,0))</f>
        <v>230689</v>
      </c>
      <c r="Q136" s="220">
        <f t="shared" si="5"/>
        <v>-57068</v>
      </c>
    </row>
    <row r="137" spans="1:17" ht="12" customHeight="1">
      <c r="A137" s="51">
        <v>3321</v>
      </c>
      <c r="B137" s="55" t="s">
        <v>122</v>
      </c>
      <c r="C137" s="147">
        <f>ROUND(VLOOKUP(A137,'Contribution Allocation_Report'!$A$9:$D$314,4,FALSE)*'OPEB Amounts_Report'!$C$321,0)</f>
        <v>388339</v>
      </c>
      <c r="D137" s="147">
        <f>ROUND(VLOOKUP(A137,'Contribution Allocation_Report'!$A$9:$D$314,4,FALSE)*'OPEB Amounts_Report'!$D$321,0)</f>
        <v>2362</v>
      </c>
      <c r="E137" s="147">
        <f>ROUND(VLOOKUP(A137,'Contribution Allocation_Report'!$A$9:$D$314,4,FALSE)*'OPEB Amounts_Report'!$E$321,0)</f>
        <v>55882</v>
      </c>
      <c r="F137" s="147">
        <f>INDEX('Change in Proportion Layers'!$AE$8:$AE$320,MATCH('OPEB Amounts_Report'!A137,'Change in Proportion Layers'!$A$8:$A$320,0))</f>
        <v>95384</v>
      </c>
      <c r="G137" s="147">
        <f t="shared" si="3"/>
        <v>153628</v>
      </c>
      <c r="H137" s="147"/>
      <c r="I137" s="147">
        <f>ROUND(VLOOKUP(A137,'Contribution Allocation_Report'!$A$9:$D$314,4,FALSE)*'OPEB Amounts_Report'!$I$321,0)</f>
        <v>66726</v>
      </c>
      <c r="J137" s="147">
        <f>ROUND(VLOOKUP(A137,'Contribution Allocation_Report'!$A$9:$D$314,4,FALSE)*'OPEB Amounts_Report'!$J$321,0)</f>
        <v>5875</v>
      </c>
      <c r="K137" s="147">
        <f>ROUND(VLOOKUP(A137,'Contribution Allocation_Report'!$A$9:$D$314,4,FALSE)*$K$321,0)</f>
        <v>179101</v>
      </c>
      <c r="L137" s="147">
        <f>INDEX('Change in Proportion Layers'!$AF$8:$AF$320,MATCH('OPEB Amounts_Report'!A137,'Change in Proportion Layers'!$A$8:$A$320,0))</f>
        <v>240646</v>
      </c>
      <c r="M137" s="147">
        <f t="shared" si="4"/>
        <v>492348</v>
      </c>
      <c r="N137" s="221"/>
      <c r="O137" s="221">
        <f>ROUND(VLOOKUP(A137,'Contribution Allocation_Report'!$A$9:$D$314,4,FALSE)*'OPEB Amounts_Report'!$O$321,0)</f>
        <v>-66406</v>
      </c>
      <c r="P137" s="221">
        <f>INDEX('Change in Proportion Layers'!$AC$8:$AC$320,MATCH('OPEB Amounts_Report'!A137,'Change in Proportion Layers'!$A$8:$A$320,0))</f>
        <v>4324</v>
      </c>
      <c r="Q137" s="221">
        <f t="shared" si="5"/>
        <v>-62082</v>
      </c>
    </row>
    <row r="138" spans="1:17" ht="12" customHeight="1">
      <c r="A138" s="53">
        <v>29122</v>
      </c>
      <c r="B138" s="54" t="s">
        <v>123</v>
      </c>
      <c r="C138" s="148">
        <f>ROUND(VLOOKUP(A138,'Contribution Allocation_Report'!$A$9:$D$314,4,FALSE)*'OPEB Amounts_Report'!$C$321,0)</f>
        <v>680072</v>
      </c>
      <c r="D138" s="148">
        <f>ROUND(VLOOKUP(A138,'Contribution Allocation_Report'!$A$9:$D$314,4,FALSE)*'OPEB Amounts_Report'!$D$321,0)</f>
        <v>4136</v>
      </c>
      <c r="E138" s="148">
        <f>ROUND(VLOOKUP(A138,'Contribution Allocation_Report'!$A$9:$D$314,4,FALSE)*'OPEB Amounts_Report'!$E$321,0)</f>
        <v>97862</v>
      </c>
      <c r="F138" s="148">
        <f>INDEX('Change in Proportion Layers'!$AE$8:$AE$320,MATCH('OPEB Amounts_Report'!A138,'Change in Proportion Layers'!$A$8:$A$320,0))</f>
        <v>349525</v>
      </c>
      <c r="G138" s="148">
        <f t="shared" ref="G138:G201" si="10">SUM(D138:F138)</f>
        <v>451523</v>
      </c>
      <c r="H138" s="148"/>
      <c r="I138" s="148">
        <f>ROUND(VLOOKUP(A138,'Contribution Allocation_Report'!$A$9:$D$314,4,FALSE)*'OPEB Amounts_Report'!$I$321,0)</f>
        <v>116853</v>
      </c>
      <c r="J138" s="148">
        <f>ROUND(VLOOKUP(A138,'Contribution Allocation_Report'!$A$9:$D$314,4,FALSE)*'OPEB Amounts_Report'!$J$321,0)</f>
        <v>10289</v>
      </c>
      <c r="K138" s="148">
        <f>ROUND(VLOOKUP(A138,'Contribution Allocation_Report'!$A$9:$D$314,4,FALSE)*$K$321,0)</f>
        <v>313648</v>
      </c>
      <c r="L138" s="148">
        <f>INDEX('Change in Proportion Layers'!$AF$8:$AF$320,MATCH('OPEB Amounts_Report'!A138,'Change in Proportion Layers'!$A$8:$A$320,0))</f>
        <v>328811</v>
      </c>
      <c r="M138" s="148">
        <f t="shared" si="4"/>
        <v>769601</v>
      </c>
      <c r="N138" s="220"/>
      <c r="O138" s="220">
        <f>ROUND(VLOOKUP(A138,'Contribution Allocation_Report'!$A$9:$D$314,4,FALSE)*'OPEB Amounts_Report'!$O$321,0)</f>
        <v>-116292</v>
      </c>
      <c r="P138" s="220">
        <f>INDEX('Change in Proportion Layers'!$AC$8:$AC$320,MATCH('OPEB Amounts_Report'!A138,'Change in Proportion Layers'!$A$8:$A$320,0))</f>
        <v>20929</v>
      </c>
      <c r="Q138" s="220">
        <f t="shared" si="5"/>
        <v>-95363</v>
      </c>
    </row>
    <row r="139" spans="1:17" ht="12" customHeight="1">
      <c r="A139" s="51">
        <v>29088</v>
      </c>
      <c r="B139" s="55" t="s">
        <v>124</v>
      </c>
      <c r="C139" s="147">
        <f>ROUND(VLOOKUP(A139,'Contribution Allocation_Report'!$A$9:$D$314,4,FALSE)*'OPEB Amounts_Report'!$C$321,0)</f>
        <v>878115</v>
      </c>
      <c r="D139" s="147">
        <f>ROUND(VLOOKUP(A139,'Contribution Allocation_Report'!$A$9:$D$314,4,FALSE)*'OPEB Amounts_Report'!$D$321,0)</f>
        <v>5340</v>
      </c>
      <c r="E139" s="147">
        <f>ROUND(VLOOKUP(A139,'Contribution Allocation_Report'!$A$9:$D$314,4,FALSE)*'OPEB Amounts_Report'!$E$321,0)</f>
        <v>126360</v>
      </c>
      <c r="F139" s="147">
        <f>INDEX('Change in Proportion Layers'!$AE$8:$AE$320,MATCH('OPEB Amounts_Report'!A139,'Change in Proportion Layers'!$A$8:$A$320,0))</f>
        <v>170580</v>
      </c>
      <c r="G139" s="147">
        <f t="shared" si="10"/>
        <v>302280</v>
      </c>
      <c r="H139" s="147"/>
      <c r="I139" s="147">
        <f>ROUND(VLOOKUP(A139,'Contribution Allocation_Report'!$A$9:$D$314,4,FALSE)*'OPEB Amounts_Report'!$I$321,0)</f>
        <v>150882</v>
      </c>
      <c r="J139" s="147">
        <f>ROUND(VLOOKUP(A139,'Contribution Allocation_Report'!$A$9:$D$314,4,FALSE)*'OPEB Amounts_Report'!$J$321,0)</f>
        <v>13285</v>
      </c>
      <c r="K139" s="147">
        <f>ROUND(VLOOKUP(A139,'Contribution Allocation_Report'!$A$9:$D$314,4,FALSE)*$K$321,0)</f>
        <v>404986</v>
      </c>
      <c r="L139" s="147">
        <f>INDEX('Change in Proportion Layers'!$AF$8:$AF$320,MATCH('OPEB Amounts_Report'!A139,'Change in Proportion Layers'!$A$8:$A$320,0))</f>
        <v>132864</v>
      </c>
      <c r="M139" s="147">
        <f t="shared" si="4"/>
        <v>702017</v>
      </c>
      <c r="N139" s="221"/>
      <c r="O139" s="221">
        <f>ROUND(VLOOKUP(A139,'Contribution Allocation_Report'!$A$9:$D$314,4,FALSE)*'OPEB Amounts_Report'!$O$321,0)</f>
        <v>-150158</v>
      </c>
      <c r="P139" s="221">
        <f>INDEX('Change in Proportion Layers'!$AC$8:$AC$320,MATCH('OPEB Amounts_Report'!A139,'Change in Proportion Layers'!$A$8:$A$320,0))</f>
        <v>-33874</v>
      </c>
      <c r="Q139" s="221">
        <f t="shared" si="5"/>
        <v>-184032</v>
      </c>
    </row>
    <row r="140" spans="1:17" ht="12" customHeight="1">
      <c r="A140" s="53">
        <v>7337</v>
      </c>
      <c r="B140" s="54" t="s">
        <v>125</v>
      </c>
      <c r="C140" s="148">
        <f>ROUND(VLOOKUP(A140,'Contribution Allocation_Report'!$A$9:$D$314,4,FALSE)*'OPEB Amounts_Report'!$C$321,0)</f>
        <v>177864</v>
      </c>
      <c r="D140" s="148">
        <f>ROUND(VLOOKUP(A140,'Contribution Allocation_Report'!$A$9:$D$314,4,FALSE)*'OPEB Amounts_Report'!$D$321,0)</f>
        <v>1082</v>
      </c>
      <c r="E140" s="148">
        <f>ROUND(VLOOKUP(A140,'Contribution Allocation_Report'!$A$9:$D$314,4,FALSE)*'OPEB Amounts_Report'!$E$321,0)</f>
        <v>25594</v>
      </c>
      <c r="F140" s="148">
        <f>INDEX('Change in Proportion Layers'!$AE$8:$AE$320,MATCH('OPEB Amounts_Report'!A140,'Change in Proportion Layers'!$A$8:$A$320,0))</f>
        <v>64901</v>
      </c>
      <c r="G140" s="148">
        <f t="shared" si="10"/>
        <v>91577</v>
      </c>
      <c r="H140" s="148"/>
      <c r="I140" s="148">
        <f>ROUND(VLOOKUP(A140,'Contribution Allocation_Report'!$A$9:$D$314,4,FALSE)*'OPEB Amounts_Report'!$I$321,0)</f>
        <v>30561</v>
      </c>
      <c r="J140" s="148">
        <f>ROUND(VLOOKUP(A140,'Contribution Allocation_Report'!$A$9:$D$314,4,FALSE)*'OPEB Amounts_Report'!$J$321,0)</f>
        <v>2691</v>
      </c>
      <c r="K140" s="148">
        <f>ROUND(VLOOKUP(A140,'Contribution Allocation_Report'!$A$9:$D$314,4,FALSE)*$K$321,0)</f>
        <v>82031</v>
      </c>
      <c r="L140" s="148">
        <f>INDEX('Change in Proportion Layers'!$AF$8:$AF$320,MATCH('OPEB Amounts_Report'!A140,'Change in Proportion Layers'!$A$8:$A$320,0))</f>
        <v>147237</v>
      </c>
      <c r="M140" s="148">
        <f t="shared" ref="M140:M204" si="11">SUM(I140:L140)</f>
        <v>262520</v>
      </c>
      <c r="N140" s="220"/>
      <c r="O140" s="220">
        <f>ROUND(VLOOKUP(A140,'Contribution Allocation_Report'!$A$9:$D$314,4,FALSE)*'OPEB Amounts_Report'!$O$321,0)</f>
        <v>-30415</v>
      </c>
      <c r="P140" s="220">
        <f>INDEX('Change in Proportion Layers'!$AC$8:$AC$320,MATCH('OPEB Amounts_Report'!A140,'Change in Proportion Layers'!$A$8:$A$320,0))</f>
        <v>-50761</v>
      </c>
      <c r="Q140" s="220">
        <f t="shared" si="5"/>
        <v>-81176</v>
      </c>
    </row>
    <row r="141" spans="1:17" ht="12" customHeight="1">
      <c r="A141" s="51">
        <v>2329</v>
      </c>
      <c r="B141" s="55" t="s">
        <v>126</v>
      </c>
      <c r="C141" s="147">
        <f>ROUND(VLOOKUP(A141,'Contribution Allocation_Report'!$A$9:$D$314,4,FALSE)*'OPEB Amounts_Report'!$C$321,0)</f>
        <v>456890</v>
      </c>
      <c r="D141" s="147">
        <f>ROUND(VLOOKUP(A141,'Contribution Allocation_Report'!$A$9:$D$314,4,FALSE)*'OPEB Amounts_Report'!$D$321,0)</f>
        <v>2779</v>
      </c>
      <c r="E141" s="147">
        <f>ROUND(VLOOKUP(A141,'Contribution Allocation_Report'!$A$9:$D$314,4,FALSE)*'OPEB Amounts_Report'!$E$321,0)</f>
        <v>65746</v>
      </c>
      <c r="F141" s="147">
        <f>INDEX('Change in Proportion Layers'!$AE$8:$AE$320,MATCH('OPEB Amounts_Report'!A141,'Change in Proportion Layers'!$A$8:$A$320,0))</f>
        <v>47059</v>
      </c>
      <c r="G141" s="147">
        <f t="shared" si="10"/>
        <v>115584</v>
      </c>
      <c r="H141" s="147"/>
      <c r="I141" s="147">
        <f>ROUND(VLOOKUP(A141,'Contribution Allocation_Report'!$A$9:$D$314,4,FALSE)*'OPEB Amounts_Report'!$I$321,0)</f>
        <v>78505</v>
      </c>
      <c r="J141" s="147">
        <f>ROUND(VLOOKUP(A141,'Contribution Allocation_Report'!$A$9:$D$314,4,FALSE)*'OPEB Amounts_Report'!$J$321,0)</f>
        <v>6912</v>
      </c>
      <c r="K141" s="147">
        <f>ROUND(VLOOKUP(A141,'Contribution Allocation_Report'!$A$9:$D$314,4,FALSE)*$K$321,0)</f>
        <v>210717</v>
      </c>
      <c r="L141" s="147">
        <f>INDEX('Change in Proportion Layers'!$AF$8:$AF$320,MATCH('OPEB Amounts_Report'!A141,'Change in Proportion Layers'!$A$8:$A$320,0))</f>
        <v>357005</v>
      </c>
      <c r="M141" s="147">
        <f t="shared" si="11"/>
        <v>653139</v>
      </c>
      <c r="N141" s="221"/>
      <c r="O141" s="221">
        <f>ROUND(VLOOKUP(A141,'Contribution Allocation_Report'!$A$9:$D$314,4,FALSE)*'OPEB Amounts_Report'!$O$321,0)</f>
        <v>-78128</v>
      </c>
      <c r="P141" s="221">
        <f>INDEX('Change in Proportion Layers'!$AC$8:$AC$320,MATCH('OPEB Amounts_Report'!A141,'Change in Proportion Layers'!$A$8:$A$320,0))</f>
        <v>-195187</v>
      </c>
      <c r="Q141" s="221">
        <f t="shared" ref="Q141:Q204" si="12">+O141+P141</f>
        <v>-273315</v>
      </c>
    </row>
    <row r="142" spans="1:17" ht="12" customHeight="1">
      <c r="A142" s="53">
        <v>4010</v>
      </c>
      <c r="B142" s="54" t="s">
        <v>129</v>
      </c>
      <c r="C142" s="148">
        <f>ROUND(VLOOKUP(A142,'Contribution Allocation_Report'!$A$9:$D$314,4,FALSE)*'OPEB Amounts_Report'!$C$321,0)</f>
        <v>456408</v>
      </c>
      <c r="D142" s="148">
        <f>ROUND(VLOOKUP(A142,'Contribution Allocation_Report'!$A$9:$D$314,4,FALSE)*'OPEB Amounts_Report'!$D$321,0)</f>
        <v>2776</v>
      </c>
      <c r="E142" s="148">
        <f>ROUND(VLOOKUP(A142,'Contribution Allocation_Report'!$A$9:$D$314,4,FALSE)*'OPEB Amounts_Report'!$E$321,0)</f>
        <v>65677</v>
      </c>
      <c r="F142" s="148">
        <f>INDEX('Change in Proportion Layers'!$AE$8:$AE$320,MATCH('OPEB Amounts_Report'!A142,'Change in Proportion Layers'!$A$8:$A$320,0))</f>
        <v>84017</v>
      </c>
      <c r="G142" s="148">
        <f t="shared" si="10"/>
        <v>152470</v>
      </c>
      <c r="H142" s="148"/>
      <c r="I142" s="148">
        <f>ROUND(VLOOKUP(A142,'Contribution Allocation_Report'!$A$9:$D$314,4,FALSE)*'OPEB Amounts_Report'!$I$321,0)</f>
        <v>78422</v>
      </c>
      <c r="J142" s="148">
        <f>ROUND(VLOOKUP(A142,'Contribution Allocation_Report'!$A$9:$D$314,4,FALSE)*'OPEB Amounts_Report'!$J$321,0)</f>
        <v>6905</v>
      </c>
      <c r="K142" s="148">
        <f>ROUND(VLOOKUP(A142,'Contribution Allocation_Report'!$A$9:$D$314,4,FALSE)*$K$321,0)</f>
        <v>210495</v>
      </c>
      <c r="L142" s="148">
        <f>INDEX('Change in Proportion Layers'!$AF$8:$AF$320,MATCH('OPEB Amounts_Report'!A142,'Change in Proportion Layers'!$A$8:$A$320,0))</f>
        <v>8423</v>
      </c>
      <c r="M142" s="148">
        <f t="shared" si="11"/>
        <v>304245</v>
      </c>
      <c r="N142" s="220"/>
      <c r="O142" s="220">
        <f>ROUND(VLOOKUP(A142,'Contribution Allocation_Report'!$A$9:$D$314,4,FALSE)*'OPEB Amounts_Report'!$O$321,0)</f>
        <v>-78046</v>
      </c>
      <c r="P142" s="220">
        <f>INDEX('Change in Proportion Layers'!$AC$8:$AC$320,MATCH('OPEB Amounts_Report'!A142,'Change in Proportion Layers'!$A$8:$A$320,0))</f>
        <v>44263</v>
      </c>
      <c r="Q142" s="220">
        <f t="shared" si="12"/>
        <v>-33783</v>
      </c>
    </row>
    <row r="143" spans="1:17" ht="12" customHeight="1">
      <c r="A143" s="51">
        <v>7023</v>
      </c>
      <c r="B143" s="55" t="s">
        <v>410</v>
      </c>
      <c r="C143" s="147">
        <f>ROUND(VLOOKUP(A143,'Contribution Allocation_Report'!$A$9:$D$314,4,FALSE)*'OPEB Amounts_Report'!$C$321,0)</f>
        <v>50463115</v>
      </c>
      <c r="D143" s="147">
        <f>ROUND(VLOOKUP(A143,'Contribution Allocation_Report'!$A$9:$D$314,4,FALSE)*'OPEB Amounts_Report'!$D$321,0)</f>
        <v>306903</v>
      </c>
      <c r="E143" s="147">
        <f>ROUND(VLOOKUP(A143,'Contribution Allocation_Report'!$A$9:$D$314,4,FALSE)*'OPEB Amounts_Report'!$E$321,0)</f>
        <v>7261599</v>
      </c>
      <c r="F143" s="147">
        <f>INDEX('Change in Proportion Layers'!$AE$8:$AE$320,MATCH('OPEB Amounts_Report'!A143,'Change in Proportion Layers'!$A$8:$A$320,0))</f>
        <v>4584156</v>
      </c>
      <c r="G143" s="147">
        <f t="shared" si="10"/>
        <v>12152658</v>
      </c>
      <c r="H143" s="147"/>
      <c r="I143" s="147">
        <f>ROUND(VLOOKUP(A143,'Contribution Allocation_Report'!$A$9:$D$314,4,FALSE)*'OPEB Amounts_Report'!$I$321,0)</f>
        <v>8670830</v>
      </c>
      <c r="J143" s="147">
        <f>ROUND(VLOOKUP(A143,'Contribution Allocation_Report'!$A$9:$D$314,4,FALSE)*'OPEB Amounts_Report'!$J$321,0)</f>
        <v>763461</v>
      </c>
      <c r="K143" s="147">
        <f>ROUND(VLOOKUP(A143,'Contribution Allocation_Report'!$A$9:$D$314,4,FALSE)*$K$321,0)</f>
        <v>23273533</v>
      </c>
      <c r="L143" s="147">
        <f>INDEX('Change in Proportion Layers'!$AF$8:$AF$320,MATCH('OPEB Amounts_Report'!A143,'Change in Proportion Layers'!$A$8:$A$320,0))</f>
        <v>3692427</v>
      </c>
      <c r="M143" s="147">
        <f t="shared" si="11"/>
        <v>36400251</v>
      </c>
      <c r="N143" s="221"/>
      <c r="O143" s="221">
        <f>ROUND(VLOOKUP(A143,'Contribution Allocation_Report'!$A$9:$D$314,4,FALSE)*'OPEB Amounts_Report'!$O$321,0)</f>
        <v>-8629201</v>
      </c>
      <c r="P143" s="221">
        <f>INDEX('Change in Proportion Layers'!$AC$8:$AC$320,MATCH('OPEB Amounts_Report'!A143,'Change in Proportion Layers'!$A$8:$A$320,0))</f>
        <v>1383047</v>
      </c>
      <c r="Q143" s="221">
        <f t="shared" si="12"/>
        <v>-7246154</v>
      </c>
    </row>
    <row r="144" spans="1:17" ht="12" customHeight="1">
      <c r="A144" s="53">
        <v>7338</v>
      </c>
      <c r="B144" s="54" t="s">
        <v>131</v>
      </c>
      <c r="C144" s="148">
        <f>ROUND(VLOOKUP(A144,'Contribution Allocation_Report'!$A$9:$D$314,4,FALSE)*'OPEB Amounts_Report'!$C$321,0)</f>
        <v>381107</v>
      </c>
      <c r="D144" s="148">
        <f>ROUND(VLOOKUP(A144,'Contribution Allocation_Report'!$A$9:$D$314,4,FALSE)*'OPEB Amounts_Report'!$D$321,0)</f>
        <v>2318</v>
      </c>
      <c r="E144" s="148">
        <f>ROUND(VLOOKUP(A144,'Contribution Allocation_Report'!$A$9:$D$314,4,FALSE)*'OPEB Amounts_Report'!$E$321,0)</f>
        <v>54841</v>
      </c>
      <c r="F144" s="148">
        <f>INDEX('Change in Proportion Layers'!$AE$8:$AE$320,MATCH('OPEB Amounts_Report'!A144,'Change in Proportion Layers'!$A$8:$A$320,0))</f>
        <v>28679</v>
      </c>
      <c r="G144" s="148">
        <f t="shared" si="10"/>
        <v>85838</v>
      </c>
      <c r="H144" s="148"/>
      <c r="I144" s="148">
        <f>ROUND(VLOOKUP(A144,'Contribution Allocation_Report'!$A$9:$D$314,4,FALSE)*'OPEB Amounts_Report'!$I$321,0)</f>
        <v>65484</v>
      </c>
      <c r="J144" s="148">
        <f>ROUND(VLOOKUP(A144,'Contribution Allocation_Report'!$A$9:$D$314,4,FALSE)*'OPEB Amounts_Report'!$J$321,0)</f>
        <v>5766</v>
      </c>
      <c r="K144" s="148">
        <f>ROUND(VLOOKUP(A144,'Contribution Allocation_Report'!$A$9:$D$314,4,FALSE)*$K$321,0)</f>
        <v>175766</v>
      </c>
      <c r="L144" s="148">
        <f>INDEX('Change in Proportion Layers'!$AF$8:$AF$320,MATCH('OPEB Amounts_Report'!A144,'Change in Proportion Layers'!$A$8:$A$320,0))</f>
        <v>99129</v>
      </c>
      <c r="M144" s="148">
        <f t="shared" si="11"/>
        <v>346145</v>
      </c>
      <c r="N144" s="220"/>
      <c r="O144" s="220">
        <f>ROUND(VLOOKUP(A144,'Contribution Allocation_Report'!$A$9:$D$314,4,FALSE)*'OPEB Amounts_Report'!$O$321,0)</f>
        <v>-65169</v>
      </c>
      <c r="P144" s="220">
        <f>INDEX('Change in Proportion Layers'!$AC$8:$AC$320,MATCH('OPEB Amounts_Report'!A144,'Change in Proportion Layers'!$A$8:$A$320,0))</f>
        <v>-21197</v>
      </c>
      <c r="Q144" s="220">
        <f t="shared" si="12"/>
        <v>-86366</v>
      </c>
    </row>
    <row r="145" spans="1:17" ht="12" customHeight="1">
      <c r="A145" s="51">
        <v>12037</v>
      </c>
      <c r="B145" s="55" t="s">
        <v>132</v>
      </c>
      <c r="C145" s="147">
        <f>ROUND(VLOOKUP(A145,'Contribution Allocation_Report'!$A$9:$D$314,4,FALSE)*'OPEB Amounts_Report'!$C$321,0)</f>
        <v>2710990</v>
      </c>
      <c r="D145" s="147">
        <f>ROUND(VLOOKUP(A145,'Contribution Allocation_Report'!$A$9:$D$314,4,FALSE)*'OPEB Amounts_Report'!$D$321,0)</f>
        <v>16488</v>
      </c>
      <c r="E145" s="147">
        <f>ROUND(VLOOKUP(A145,'Contribution Allocation_Report'!$A$9:$D$314,4,FALSE)*'OPEB Amounts_Report'!$E$321,0)</f>
        <v>390109</v>
      </c>
      <c r="F145" s="147">
        <f>INDEX('Change in Proportion Layers'!$AE$8:$AE$320,MATCH('OPEB Amounts_Report'!A145,'Change in Proportion Layers'!$A$8:$A$320,0))</f>
        <v>0</v>
      </c>
      <c r="G145" s="147">
        <f t="shared" si="10"/>
        <v>406597</v>
      </c>
      <c r="H145" s="147"/>
      <c r="I145" s="147">
        <f>ROUND(VLOOKUP(A145,'Contribution Allocation_Report'!$A$9:$D$314,4,FALSE)*'OPEB Amounts_Report'!$I$321,0)</f>
        <v>465816</v>
      </c>
      <c r="J145" s="147">
        <f>ROUND(VLOOKUP(A145,'Contribution Allocation_Report'!$A$9:$D$314,4,FALSE)*'OPEB Amounts_Report'!$J$321,0)</f>
        <v>41015</v>
      </c>
      <c r="K145" s="147">
        <f>ROUND(VLOOKUP(A145,'Contribution Allocation_Report'!$A$9:$D$314,4,FALSE)*$K$321,0)</f>
        <v>1250306</v>
      </c>
      <c r="L145" s="147">
        <f>INDEX('Change in Proportion Layers'!$AF$8:$AF$320,MATCH('OPEB Amounts_Report'!A145,'Change in Proportion Layers'!$A$8:$A$320,0))</f>
        <v>584377</v>
      </c>
      <c r="M145" s="147">
        <f t="shared" si="11"/>
        <v>2341514</v>
      </c>
      <c r="N145" s="221"/>
      <c r="O145" s="221">
        <f>ROUND(VLOOKUP(A145,'Contribution Allocation_Report'!$A$9:$D$314,4,FALSE)*'OPEB Amounts_Report'!$O$321,0)</f>
        <v>-463580</v>
      </c>
      <c r="P145" s="221">
        <f>INDEX('Change in Proportion Layers'!$AC$8:$AC$320,MATCH('OPEB Amounts_Report'!A145,'Change in Proportion Layers'!$A$8:$A$320,0))</f>
        <v>-147031</v>
      </c>
      <c r="Q145" s="221">
        <f t="shared" si="12"/>
        <v>-610611</v>
      </c>
    </row>
    <row r="146" spans="1:17" ht="12" customHeight="1">
      <c r="A146" s="53">
        <v>3150</v>
      </c>
      <c r="B146" s="54" t="s">
        <v>133</v>
      </c>
      <c r="C146" s="148">
        <f>ROUND(VLOOKUP(A146,'Contribution Allocation_Report'!$A$9:$D$314,4,FALSE)*'OPEB Amounts_Report'!$C$321,0)</f>
        <v>6775684</v>
      </c>
      <c r="D146" s="148">
        <f>ROUND(VLOOKUP(A146,'Contribution Allocation_Report'!$A$9:$D$314,4,FALSE)*'OPEB Amounts_Report'!$D$321,0)</f>
        <v>41208</v>
      </c>
      <c r="E146" s="148">
        <f>ROUND(VLOOKUP(A146,'Contribution Allocation_Report'!$A$9:$D$314,4,FALSE)*'OPEB Amounts_Report'!$E$321,0)</f>
        <v>975015</v>
      </c>
      <c r="F146" s="148">
        <f>INDEX('Change in Proportion Layers'!$AE$8:$AE$320,MATCH('OPEB Amounts_Report'!A146,'Change in Proportion Layers'!$A$8:$A$320,0))</f>
        <v>1591713</v>
      </c>
      <c r="G146" s="148">
        <f t="shared" si="10"/>
        <v>2607936</v>
      </c>
      <c r="H146" s="148"/>
      <c r="I146" s="148">
        <f>ROUND(VLOOKUP(A146,'Contribution Allocation_Report'!$A$9:$D$314,4,FALSE)*'OPEB Amounts_Report'!$I$321,0)</f>
        <v>1164233</v>
      </c>
      <c r="J146" s="148">
        <f>ROUND(VLOOKUP(A146,'Contribution Allocation_Report'!$A$9:$D$314,4,FALSE)*'OPEB Amounts_Report'!$J$321,0)</f>
        <v>102510</v>
      </c>
      <c r="K146" s="148">
        <f>ROUND(VLOOKUP(A146,'Contribution Allocation_Report'!$A$9:$D$314,4,FALSE)*$K$321,0)</f>
        <v>3124938</v>
      </c>
      <c r="L146" s="148">
        <f>INDEX('Change in Proportion Layers'!$AF$8:$AF$320,MATCH('OPEB Amounts_Report'!A146,'Change in Proportion Layers'!$A$8:$A$320,0))</f>
        <v>597095</v>
      </c>
      <c r="M146" s="148">
        <f t="shared" si="11"/>
        <v>4988776</v>
      </c>
      <c r="N146" s="220"/>
      <c r="O146" s="220">
        <f>ROUND(VLOOKUP(A146,'Contribution Allocation_Report'!$A$9:$D$314,4,FALSE)*'OPEB Amounts_Report'!$O$321,0)</f>
        <v>-1158643</v>
      </c>
      <c r="P146" s="220">
        <f>INDEX('Change in Proportion Layers'!$AC$8:$AC$320,MATCH('OPEB Amounts_Report'!A146,'Change in Proportion Layers'!$A$8:$A$320,0))</f>
        <v>138714</v>
      </c>
      <c r="Q146" s="220">
        <f t="shared" si="12"/>
        <v>-1019929</v>
      </c>
    </row>
    <row r="147" spans="1:17" ht="12" customHeight="1">
      <c r="A147" s="51">
        <v>3160</v>
      </c>
      <c r="B147" s="55" t="s">
        <v>134</v>
      </c>
      <c r="C147" s="147">
        <f>ROUND(VLOOKUP(A147,'Contribution Allocation_Report'!$A$9:$D$314,4,FALSE)*'OPEB Amounts_Report'!$C$321,0)</f>
        <v>1357779</v>
      </c>
      <c r="D147" s="147">
        <f>ROUND(VLOOKUP(A147,'Contribution Allocation_Report'!$A$9:$D$314,4,FALSE)*'OPEB Amounts_Report'!$D$321,0)</f>
        <v>8258</v>
      </c>
      <c r="E147" s="147">
        <f>ROUND(VLOOKUP(A147,'Contribution Allocation_Report'!$A$9:$D$314,4,FALSE)*'OPEB Amounts_Report'!$E$321,0)</f>
        <v>195383</v>
      </c>
      <c r="F147" s="147">
        <f>INDEX('Change in Proportion Layers'!$AE$8:$AE$320,MATCH('OPEB Amounts_Report'!A147,'Change in Proportion Layers'!$A$8:$A$320,0))</f>
        <v>92073</v>
      </c>
      <c r="G147" s="147">
        <f t="shared" si="10"/>
        <v>295714</v>
      </c>
      <c r="H147" s="147"/>
      <c r="I147" s="147">
        <f>ROUND(VLOOKUP(A147,'Contribution Allocation_Report'!$A$9:$D$314,4,FALSE)*'OPEB Amounts_Report'!$I$321,0)</f>
        <v>233301</v>
      </c>
      <c r="J147" s="147">
        <f>ROUND(VLOOKUP(A147,'Contribution Allocation_Report'!$A$9:$D$314,4,FALSE)*'OPEB Amounts_Report'!$J$321,0)</f>
        <v>20542</v>
      </c>
      <c r="K147" s="147">
        <f>ROUND(VLOOKUP(A147,'Contribution Allocation_Report'!$A$9:$D$314,4,FALSE)*$K$321,0)</f>
        <v>626206</v>
      </c>
      <c r="L147" s="147">
        <f>INDEX('Change in Proportion Layers'!$AF$8:$AF$320,MATCH('OPEB Amounts_Report'!A147,'Change in Proportion Layers'!$A$8:$A$320,0))</f>
        <v>270851</v>
      </c>
      <c r="M147" s="147">
        <f t="shared" si="11"/>
        <v>1150900</v>
      </c>
      <c r="N147" s="221"/>
      <c r="O147" s="221">
        <f>ROUND(VLOOKUP(A147,'Contribution Allocation_Report'!$A$9:$D$314,4,FALSE)*'OPEB Amounts_Report'!$O$321,0)</f>
        <v>-232180</v>
      </c>
      <c r="P147" s="221">
        <f>INDEX('Change in Proportion Layers'!$AC$8:$AC$320,MATCH('OPEB Amounts_Report'!A147,'Change in Proportion Layers'!$A$8:$A$320,0))</f>
        <v>-116911</v>
      </c>
      <c r="Q147" s="221">
        <f t="shared" si="12"/>
        <v>-349091</v>
      </c>
    </row>
    <row r="148" spans="1:17" ht="12" customHeight="1">
      <c r="A148" s="53">
        <v>10120</v>
      </c>
      <c r="B148" s="54" t="s">
        <v>135</v>
      </c>
      <c r="C148" s="148">
        <f>ROUND(VLOOKUP(A148,'Contribution Allocation_Report'!$A$9:$D$314,4,FALSE)*'OPEB Amounts_Report'!$C$321,0)</f>
        <v>700275</v>
      </c>
      <c r="D148" s="148">
        <f>ROUND(VLOOKUP(A148,'Contribution Allocation_Report'!$A$9:$D$314,4,FALSE)*'OPEB Amounts_Report'!$D$321,0)</f>
        <v>4259</v>
      </c>
      <c r="E148" s="148">
        <f>ROUND(VLOOKUP(A148,'Contribution Allocation_Report'!$A$9:$D$314,4,FALSE)*'OPEB Amounts_Report'!$E$321,0)</f>
        <v>100769</v>
      </c>
      <c r="F148" s="148">
        <f>INDEX('Change in Proportion Layers'!$AE$8:$AE$320,MATCH('OPEB Amounts_Report'!A148,'Change in Proportion Layers'!$A$8:$A$320,0))</f>
        <v>27762</v>
      </c>
      <c r="G148" s="148">
        <f t="shared" si="10"/>
        <v>132790</v>
      </c>
      <c r="H148" s="148"/>
      <c r="I148" s="148">
        <f>ROUND(VLOOKUP(A148,'Contribution Allocation_Report'!$A$9:$D$314,4,FALSE)*'OPEB Amounts_Report'!$I$321,0)</f>
        <v>120325</v>
      </c>
      <c r="J148" s="148">
        <f>ROUND(VLOOKUP(A148,'Contribution Allocation_Report'!$A$9:$D$314,4,FALSE)*'OPEB Amounts_Report'!$J$321,0)</f>
        <v>10595</v>
      </c>
      <c r="K148" s="148">
        <f>ROUND(VLOOKUP(A148,'Contribution Allocation_Report'!$A$9:$D$314,4,FALSE)*$K$321,0)</f>
        <v>322966</v>
      </c>
      <c r="L148" s="148">
        <f>INDEX('Change in Proportion Layers'!$AF$8:$AF$320,MATCH('OPEB Amounts_Report'!A148,'Change in Proportion Layers'!$A$8:$A$320,0))</f>
        <v>74266</v>
      </c>
      <c r="M148" s="148">
        <f t="shared" si="11"/>
        <v>528152</v>
      </c>
      <c r="N148" s="220"/>
      <c r="O148" s="220">
        <f>ROUND(VLOOKUP(A148,'Contribution Allocation_Report'!$A$9:$D$314,4,FALSE)*'OPEB Amounts_Report'!$O$321,0)</f>
        <v>-119747</v>
      </c>
      <c r="P148" s="220">
        <f>INDEX('Change in Proportion Layers'!$AC$8:$AC$320,MATCH('OPEB Amounts_Report'!A148,'Change in Proportion Layers'!$A$8:$A$320,0))</f>
        <v>-18046</v>
      </c>
      <c r="Q148" s="220">
        <f t="shared" si="12"/>
        <v>-137793</v>
      </c>
    </row>
    <row r="149" spans="1:17" ht="12" customHeight="1">
      <c r="A149" s="51">
        <v>23070</v>
      </c>
      <c r="B149" s="55" t="s">
        <v>136</v>
      </c>
      <c r="C149" s="147">
        <f>ROUND(VLOOKUP(A149,'Contribution Allocation_Report'!$A$9:$D$314,4,FALSE)*'OPEB Amounts_Report'!$C$321,0)</f>
        <v>1089313</v>
      </c>
      <c r="D149" s="147">
        <f>ROUND(VLOOKUP(A149,'Contribution Allocation_Report'!$A$9:$D$314,4,FALSE)*'OPEB Amounts_Report'!$D$321,0)</f>
        <v>6625</v>
      </c>
      <c r="E149" s="147">
        <f>ROUND(VLOOKUP(A149,'Contribution Allocation_Report'!$A$9:$D$314,4,FALSE)*'OPEB Amounts_Report'!$E$321,0)</f>
        <v>156751</v>
      </c>
      <c r="F149" s="147">
        <f>INDEX('Change in Proportion Layers'!$AE$8:$AE$320,MATCH('OPEB Amounts_Report'!A149,'Change in Proportion Layers'!$A$8:$A$320,0))</f>
        <v>69310</v>
      </c>
      <c r="G149" s="147">
        <f t="shared" si="10"/>
        <v>232686</v>
      </c>
      <c r="H149" s="147"/>
      <c r="I149" s="147">
        <f>ROUND(VLOOKUP(A149,'Contribution Allocation_Report'!$A$9:$D$314,4,FALSE)*'OPEB Amounts_Report'!$I$321,0)</f>
        <v>187171</v>
      </c>
      <c r="J149" s="147">
        <f>ROUND(VLOOKUP(A149,'Contribution Allocation_Report'!$A$9:$D$314,4,FALSE)*'OPEB Amounts_Report'!$J$321,0)</f>
        <v>16480</v>
      </c>
      <c r="K149" s="147">
        <f>ROUND(VLOOKUP(A149,'Contribution Allocation_Report'!$A$9:$D$314,4,FALSE)*$K$321,0)</f>
        <v>502390</v>
      </c>
      <c r="L149" s="147">
        <f>INDEX('Change in Proportion Layers'!$AF$8:$AF$320,MATCH('OPEB Amounts_Report'!A149,'Change in Proportion Layers'!$A$8:$A$320,0))</f>
        <v>228666</v>
      </c>
      <c r="M149" s="147">
        <f t="shared" si="11"/>
        <v>934707</v>
      </c>
      <c r="N149" s="221"/>
      <c r="O149" s="221">
        <f>ROUND(VLOOKUP(A149,'Contribution Allocation_Report'!$A$9:$D$314,4,FALSE)*'OPEB Amounts_Report'!$O$321,0)</f>
        <v>-186273</v>
      </c>
      <c r="P149" s="221">
        <f>INDEX('Change in Proportion Layers'!$AC$8:$AC$320,MATCH('OPEB Amounts_Report'!A149,'Change in Proportion Layers'!$A$8:$A$320,0))</f>
        <v>-39292</v>
      </c>
      <c r="Q149" s="221">
        <f t="shared" si="12"/>
        <v>-225565</v>
      </c>
    </row>
    <row r="150" spans="1:17" ht="12" customHeight="1">
      <c r="A150" s="53">
        <v>3170</v>
      </c>
      <c r="B150" s="54" t="s">
        <v>137</v>
      </c>
      <c r="C150" s="148">
        <f>ROUND(VLOOKUP(A150,'Contribution Allocation_Report'!$A$9:$D$314,4,FALSE)*'OPEB Amounts_Report'!$C$321,0)</f>
        <v>15606575</v>
      </c>
      <c r="D150" s="148">
        <f>ROUND(VLOOKUP(A150,'Contribution Allocation_Report'!$A$9:$D$314,4,FALSE)*'OPEB Amounts_Report'!$D$321,0)</f>
        <v>94915</v>
      </c>
      <c r="E150" s="148">
        <f>ROUND(VLOOKUP(A150,'Contribution Allocation_Report'!$A$9:$D$314,4,FALSE)*'OPEB Amounts_Report'!$E$321,0)</f>
        <v>2245773</v>
      </c>
      <c r="F150" s="148">
        <f>INDEX('Change in Proportion Layers'!$AE$8:$AE$320,MATCH('OPEB Amounts_Report'!A150,'Change in Proportion Layers'!$A$8:$A$320,0))</f>
        <v>2240455</v>
      </c>
      <c r="G150" s="148">
        <f t="shared" si="10"/>
        <v>4581143</v>
      </c>
      <c r="H150" s="148"/>
      <c r="I150" s="148">
        <f>ROUND(VLOOKUP(A150,'Contribution Allocation_Report'!$A$9:$D$314,4,FALSE)*'OPEB Amounts_Report'!$I$321,0)</f>
        <v>2681602</v>
      </c>
      <c r="J150" s="148">
        <f>ROUND(VLOOKUP(A150,'Contribution Allocation_Report'!$A$9:$D$314,4,FALSE)*'OPEB Amounts_Report'!$J$321,0)</f>
        <v>236113</v>
      </c>
      <c r="K150" s="148">
        <f>ROUND(VLOOKUP(A150,'Contribution Allocation_Report'!$A$9:$D$314,4,FALSE)*$K$321,0)</f>
        <v>7197735</v>
      </c>
      <c r="L150" s="148">
        <f>INDEX('Change in Proportion Layers'!$AF$8:$AF$320,MATCH('OPEB Amounts_Report'!A150,'Change in Proportion Layers'!$A$8:$A$320,0))</f>
        <v>492461</v>
      </c>
      <c r="M150" s="148">
        <f t="shared" si="11"/>
        <v>10607911</v>
      </c>
      <c r="N150" s="220"/>
      <c r="O150" s="220">
        <f>ROUND(VLOOKUP(A150,'Contribution Allocation_Report'!$A$9:$D$314,4,FALSE)*'OPEB Amounts_Report'!$O$321,0)</f>
        <v>-2668727</v>
      </c>
      <c r="P150" s="220">
        <f>INDEX('Change in Proportion Layers'!$AC$8:$AC$320,MATCH('OPEB Amounts_Report'!A150,'Change in Proportion Layers'!$A$8:$A$320,0))</f>
        <v>65554</v>
      </c>
      <c r="Q150" s="220">
        <f t="shared" si="12"/>
        <v>-2603173</v>
      </c>
    </row>
    <row r="151" spans="1:17" ht="12" customHeight="1">
      <c r="A151" s="51">
        <v>32093</v>
      </c>
      <c r="B151" s="55" t="s">
        <v>138</v>
      </c>
      <c r="C151" s="147">
        <f>ROUND(VLOOKUP(A151,'Contribution Allocation_Report'!$A$9:$D$314,4,FALSE)*'OPEB Amounts_Report'!$C$321,0)</f>
        <v>9156395</v>
      </c>
      <c r="D151" s="147">
        <f>ROUND(VLOOKUP(A151,'Contribution Allocation_Report'!$A$9:$D$314,4,FALSE)*'OPEB Amounts_Report'!$D$321,0)</f>
        <v>55687</v>
      </c>
      <c r="E151" s="147">
        <f>ROUND(VLOOKUP(A151,'Contribution Allocation_Report'!$A$9:$D$314,4,FALSE)*'OPEB Amounts_Report'!$E$321,0)</f>
        <v>1317597</v>
      </c>
      <c r="F151" s="147">
        <f>INDEX('Change in Proportion Layers'!$AE$8:$AE$320,MATCH('OPEB Amounts_Report'!A151,'Change in Proportion Layers'!$A$8:$A$320,0))</f>
        <v>209392</v>
      </c>
      <c r="G151" s="147">
        <f t="shared" si="10"/>
        <v>1582676</v>
      </c>
      <c r="H151" s="147"/>
      <c r="I151" s="147">
        <f>ROUND(VLOOKUP(A151,'Contribution Allocation_Report'!$A$9:$D$314,4,FALSE)*'OPEB Amounts_Report'!$I$321,0)</f>
        <v>1573299</v>
      </c>
      <c r="J151" s="147">
        <f>ROUND(VLOOKUP(A151,'Contribution Allocation_Report'!$A$9:$D$314,4,FALSE)*'OPEB Amounts_Report'!$J$321,0)</f>
        <v>138528</v>
      </c>
      <c r="K151" s="147">
        <f>ROUND(VLOOKUP(A151,'Contribution Allocation_Report'!$A$9:$D$314,4,FALSE)*$K$321,0)</f>
        <v>4222919</v>
      </c>
      <c r="L151" s="147">
        <f>INDEX('Change in Proportion Layers'!$AF$8:$AF$320,MATCH('OPEB Amounts_Report'!A151,'Change in Proportion Layers'!$A$8:$A$320,0))</f>
        <v>510987</v>
      </c>
      <c r="M151" s="147">
        <f t="shared" si="11"/>
        <v>6445733</v>
      </c>
      <c r="N151" s="221"/>
      <c r="O151" s="221">
        <f>ROUND(VLOOKUP(A151,'Contribution Allocation_Report'!$A$9:$D$314,4,FALSE)*'OPEB Amounts_Report'!$O$321,0)</f>
        <v>-1565745</v>
      </c>
      <c r="P151" s="221">
        <f>INDEX('Change in Proportion Layers'!$AC$8:$AC$320,MATCH('OPEB Amounts_Report'!A151,'Change in Proportion Layers'!$A$8:$A$320,0))</f>
        <v>25030</v>
      </c>
      <c r="Q151" s="221">
        <f t="shared" si="12"/>
        <v>-1540715</v>
      </c>
    </row>
    <row r="152" spans="1:17" ht="12" customHeight="1">
      <c r="A152" s="53">
        <v>14045</v>
      </c>
      <c r="B152" s="54" t="s">
        <v>139</v>
      </c>
      <c r="C152" s="148">
        <f>ROUND(VLOOKUP(A152,'Contribution Allocation_Report'!$A$9:$D$314,4,FALSE)*'OPEB Amounts_Report'!$C$321,0)</f>
        <v>17535837</v>
      </c>
      <c r="D152" s="148">
        <f>ROUND(VLOOKUP(A152,'Contribution Allocation_Report'!$A$9:$D$314,4,FALSE)*'OPEB Amounts_Report'!$D$321,0)</f>
        <v>106648</v>
      </c>
      <c r="E152" s="148">
        <f>ROUND(VLOOKUP(A152,'Contribution Allocation_Report'!$A$9:$D$314,4,FALSE)*'OPEB Amounts_Report'!$E$321,0)</f>
        <v>2523392</v>
      </c>
      <c r="F152" s="148">
        <f>INDEX('Change in Proportion Layers'!$AE$8:$AE$320,MATCH('OPEB Amounts_Report'!A152,'Change in Proportion Layers'!$A$8:$A$320,0))</f>
        <v>1888512</v>
      </c>
      <c r="G152" s="148">
        <f t="shared" si="10"/>
        <v>4518552</v>
      </c>
      <c r="H152" s="148"/>
      <c r="I152" s="148">
        <f>ROUND(VLOOKUP(A152,'Contribution Allocation_Report'!$A$9:$D$314,4,FALSE)*'OPEB Amounts_Report'!$I$321,0)</f>
        <v>3013097</v>
      </c>
      <c r="J152" s="148">
        <f>ROUND(VLOOKUP(A152,'Contribution Allocation_Report'!$A$9:$D$314,4,FALSE)*'OPEB Amounts_Report'!$J$321,0)</f>
        <v>265301</v>
      </c>
      <c r="K152" s="148">
        <f>ROUND(VLOOKUP(A152,'Contribution Allocation_Report'!$A$9:$D$314,4,FALSE)*$K$321,0)</f>
        <v>8087509</v>
      </c>
      <c r="L152" s="148">
        <f>INDEX('Change in Proportion Layers'!$AF$8:$AF$320,MATCH('OPEB Amounts_Report'!A152,'Change in Proportion Layers'!$A$8:$A$320,0))</f>
        <v>477935</v>
      </c>
      <c r="M152" s="148">
        <f t="shared" si="11"/>
        <v>11843842</v>
      </c>
      <c r="N152" s="220"/>
      <c r="O152" s="220">
        <f>ROUND(VLOOKUP(A152,'Contribution Allocation_Report'!$A$9:$D$314,4,FALSE)*'OPEB Amounts_Report'!$O$321,0)</f>
        <v>-2998631</v>
      </c>
      <c r="P152" s="220">
        <f>INDEX('Change in Proportion Layers'!$AC$8:$AC$320,MATCH('OPEB Amounts_Report'!A152,'Change in Proportion Layers'!$A$8:$A$320,0))</f>
        <v>774818</v>
      </c>
      <c r="Q152" s="220">
        <f t="shared" si="12"/>
        <v>-2223813</v>
      </c>
    </row>
    <row r="153" spans="1:17" ht="12" customHeight="1">
      <c r="A153" s="51">
        <v>2322</v>
      </c>
      <c r="B153" s="55" t="s">
        <v>140</v>
      </c>
      <c r="C153" s="147">
        <f>ROUND(VLOOKUP(A153,'Contribution Allocation_Report'!$A$9:$D$314,4,FALSE)*'OPEB Amounts_Report'!$C$321,0)</f>
        <v>296417</v>
      </c>
      <c r="D153" s="147">
        <f>ROUND(VLOOKUP(A153,'Contribution Allocation_Report'!$A$9:$D$314,4,FALSE)*'OPEB Amounts_Report'!$D$321,0)</f>
        <v>1803</v>
      </c>
      <c r="E153" s="147">
        <f>ROUND(VLOOKUP(A153,'Contribution Allocation_Report'!$A$9:$D$314,4,FALSE)*'OPEB Amounts_Report'!$E$321,0)</f>
        <v>42654</v>
      </c>
      <c r="F153" s="147">
        <f>INDEX('Change in Proportion Layers'!$AE$8:$AE$320,MATCH('OPEB Amounts_Report'!A153,'Change in Proportion Layers'!$A$8:$A$320,0))</f>
        <v>55148</v>
      </c>
      <c r="G153" s="147">
        <f t="shared" si="10"/>
        <v>99605</v>
      </c>
      <c r="H153" s="147"/>
      <c r="I153" s="147">
        <f>ROUND(VLOOKUP(A153,'Contribution Allocation_Report'!$A$9:$D$314,4,FALSE)*'OPEB Amounts_Report'!$I$321,0)</f>
        <v>50932</v>
      </c>
      <c r="J153" s="147">
        <f>ROUND(VLOOKUP(A153,'Contribution Allocation_Report'!$A$9:$D$314,4,FALSE)*'OPEB Amounts_Report'!$J$321,0)</f>
        <v>4485</v>
      </c>
      <c r="K153" s="147">
        <f>ROUND(VLOOKUP(A153,'Contribution Allocation_Report'!$A$9:$D$314,4,FALSE)*$K$321,0)</f>
        <v>136707</v>
      </c>
      <c r="L153" s="147">
        <f>INDEX('Change in Proportion Layers'!$AF$8:$AF$320,MATCH('OPEB Amounts_Report'!A153,'Change in Proportion Layers'!$A$8:$A$320,0))</f>
        <v>198512</v>
      </c>
      <c r="M153" s="147">
        <f t="shared" si="11"/>
        <v>390636</v>
      </c>
      <c r="N153" s="221"/>
      <c r="O153" s="221">
        <f>ROUND(VLOOKUP(A153,'Contribution Allocation_Report'!$A$9:$D$314,4,FALSE)*'OPEB Amounts_Report'!$O$321,0)</f>
        <v>-50687</v>
      </c>
      <c r="P153" s="221">
        <f>INDEX('Change in Proportion Layers'!$AC$8:$AC$320,MATCH('OPEB Amounts_Report'!A153,'Change in Proportion Layers'!$A$8:$A$320,0))</f>
        <v>-55118</v>
      </c>
      <c r="Q153" s="221">
        <f t="shared" si="12"/>
        <v>-105805</v>
      </c>
    </row>
    <row r="154" spans="1:17" ht="12" customHeight="1">
      <c r="A154" s="53">
        <v>3006</v>
      </c>
      <c r="B154" s="54" t="s">
        <v>141</v>
      </c>
      <c r="C154" s="148">
        <f>ROUND(VLOOKUP(A154,'Contribution Allocation_Report'!$A$9:$D$314,4,FALSE)*'OPEB Amounts_Report'!$C$321,0)</f>
        <v>1506762</v>
      </c>
      <c r="D154" s="148">
        <f>ROUND(VLOOKUP(A154,'Contribution Allocation_Report'!$A$9:$D$314,4,FALSE)*'OPEB Amounts_Report'!$D$321,0)</f>
        <v>9164</v>
      </c>
      <c r="E154" s="148">
        <f>ROUND(VLOOKUP(A154,'Contribution Allocation_Report'!$A$9:$D$314,4,FALSE)*'OPEB Amounts_Report'!$E$321,0)</f>
        <v>216822</v>
      </c>
      <c r="F154" s="148">
        <f>INDEX('Change in Proportion Layers'!$AE$8:$AE$320,MATCH('OPEB Amounts_Report'!A154,'Change in Proportion Layers'!$A$8:$A$320,0))</f>
        <v>369781</v>
      </c>
      <c r="G154" s="148">
        <f t="shared" si="10"/>
        <v>595767</v>
      </c>
      <c r="H154" s="148"/>
      <c r="I154" s="148">
        <f>ROUND(VLOOKUP(A154,'Contribution Allocation_Report'!$A$9:$D$314,4,FALSE)*'OPEB Amounts_Report'!$I$321,0)</f>
        <v>258900</v>
      </c>
      <c r="J154" s="148">
        <f>ROUND(VLOOKUP(A154,'Contribution Allocation_Report'!$A$9:$D$314,4,FALSE)*'OPEB Amounts_Report'!$J$321,0)</f>
        <v>22796</v>
      </c>
      <c r="K154" s="148">
        <f>ROUND(VLOOKUP(A154,'Contribution Allocation_Report'!$A$9:$D$314,4,FALSE)*$K$321,0)</f>
        <v>694917</v>
      </c>
      <c r="L154" s="148">
        <f>INDEX('Change in Proportion Layers'!$AF$8:$AF$320,MATCH('OPEB Amounts_Report'!A154,'Change in Proportion Layers'!$A$8:$A$320,0))</f>
        <v>119133</v>
      </c>
      <c r="M154" s="148">
        <f t="shared" si="11"/>
        <v>1095746</v>
      </c>
      <c r="N154" s="220"/>
      <c r="O154" s="220">
        <f>ROUND(VLOOKUP(A154,'Contribution Allocation_Report'!$A$9:$D$314,4,FALSE)*'OPEB Amounts_Report'!$O$321,0)</f>
        <v>-257657</v>
      </c>
      <c r="P154" s="220">
        <f>INDEX('Change in Proportion Layers'!$AC$8:$AC$320,MATCH('OPEB Amounts_Report'!A154,'Change in Proportion Layers'!$A$8:$A$320,0))</f>
        <v>189626</v>
      </c>
      <c r="Q154" s="220">
        <f t="shared" si="12"/>
        <v>-68031</v>
      </c>
    </row>
    <row r="155" spans="1:17" ht="12" customHeight="1">
      <c r="A155" s="51">
        <v>6019</v>
      </c>
      <c r="B155" s="52" t="s">
        <v>142</v>
      </c>
      <c r="C155" s="115">
        <f>ROUND(VLOOKUP(A155,'Contribution Allocation_Report'!$A$9:$D$314,4,FALSE)*'OPEB Amounts_Report'!$C$321,0)</f>
        <v>7601824</v>
      </c>
      <c r="D155" s="115">
        <f>ROUND(VLOOKUP(A155,'Contribution Allocation_Report'!$A$9:$D$314,4,FALSE)*'OPEB Amounts_Report'!$D$321,0)</f>
        <v>46232</v>
      </c>
      <c r="E155" s="115">
        <f>ROUND(VLOOKUP(A155,'Contribution Allocation_Report'!$A$9:$D$314,4,FALSE)*'OPEB Amounts_Report'!$E$321,0)</f>
        <v>1093896</v>
      </c>
      <c r="F155" s="115">
        <f>INDEX('Change in Proportion Layers'!$AE$8:$AE$320,MATCH('OPEB Amounts_Report'!A155,'Change in Proportion Layers'!$A$8:$A$320,0))</f>
        <v>1349273</v>
      </c>
      <c r="G155" s="115">
        <f t="shared" si="10"/>
        <v>2489401</v>
      </c>
      <c r="H155" s="115"/>
      <c r="I155" s="115">
        <f>ROUND(VLOOKUP(A155,'Contribution Allocation_Report'!$A$9:$D$314,4,FALSE)*'OPEB Amounts_Report'!$I$321,0)</f>
        <v>1306184</v>
      </c>
      <c r="J155" s="115">
        <f>ROUND(VLOOKUP(A155,'Contribution Allocation_Report'!$A$9:$D$314,4,FALSE)*'OPEB Amounts_Report'!$J$321,0)</f>
        <v>115009</v>
      </c>
      <c r="K155" s="115">
        <f>ROUND(VLOOKUP(A155,'Contribution Allocation_Report'!$A$9:$D$314,4,FALSE)*$K$321,0)</f>
        <v>3505953</v>
      </c>
      <c r="L155" s="117">
        <f>INDEX('Change in Proportion Layers'!$AF$8:$AF$320,MATCH('OPEB Amounts_Report'!A155,'Change in Proportion Layers'!$A$8:$A$320,0))</f>
        <v>666329</v>
      </c>
      <c r="M155" s="115">
        <f t="shared" si="11"/>
        <v>5593475</v>
      </c>
      <c r="N155" s="116"/>
      <c r="O155" s="116">
        <f>ROUND(VLOOKUP(A155,'Contribution Allocation_Report'!$A$9:$D$314,4,FALSE)*'OPEB Amounts_Report'!$O$321,0)</f>
        <v>-1299913</v>
      </c>
      <c r="P155" s="116">
        <f>INDEX('Change in Proportion Layers'!$AC$8:$AC$320,MATCH('OPEB Amounts_Report'!A155,'Change in Proportion Layers'!$A$8:$A$320,0))</f>
        <v>414735</v>
      </c>
      <c r="Q155" s="116">
        <f t="shared" si="12"/>
        <v>-885178</v>
      </c>
    </row>
    <row r="156" spans="1:17" ht="12" customHeight="1">
      <c r="A156" s="53">
        <v>12128</v>
      </c>
      <c r="B156" s="54" t="s">
        <v>143</v>
      </c>
      <c r="C156" s="148">
        <f>ROUND(VLOOKUP(A156,'Contribution Allocation_Report'!$A$9:$D$314,4,FALSE)*'OPEB Amounts_Report'!$C$321,0)</f>
        <v>1512295</v>
      </c>
      <c r="D156" s="148">
        <f>ROUND(VLOOKUP(A156,'Contribution Allocation_Report'!$A$9:$D$314,4,FALSE)*'OPEB Amounts_Report'!$D$321,0)</f>
        <v>9197</v>
      </c>
      <c r="E156" s="148">
        <f>ROUND(VLOOKUP(A156,'Contribution Allocation_Report'!$A$9:$D$314,4,FALSE)*'OPEB Amounts_Report'!$E$321,0)</f>
        <v>217618</v>
      </c>
      <c r="F156" s="148">
        <f>INDEX('Change in Proportion Layers'!$AE$8:$AE$320,MATCH('OPEB Amounts_Report'!A156,'Change in Proportion Layers'!$A$8:$A$320,0))</f>
        <v>104358</v>
      </c>
      <c r="G156" s="148">
        <f t="shared" si="10"/>
        <v>331173</v>
      </c>
      <c r="H156" s="148"/>
      <c r="I156" s="148">
        <f>ROUND(VLOOKUP(A156,'Contribution Allocation_Report'!$A$9:$D$314,4,FALSE)*'OPEB Amounts_Report'!$I$321,0)</f>
        <v>259850</v>
      </c>
      <c r="J156" s="148">
        <f>ROUND(VLOOKUP(A156,'Contribution Allocation_Report'!$A$9:$D$314,4,FALSE)*'OPEB Amounts_Report'!$J$321,0)</f>
        <v>22880</v>
      </c>
      <c r="K156" s="148">
        <f>ROUND(VLOOKUP(A156,'Contribution Allocation_Report'!$A$9:$D$314,4,FALSE)*$K$321,0)</f>
        <v>697469</v>
      </c>
      <c r="L156" s="148">
        <f>INDEX('Change in Proportion Layers'!$AF$8:$AF$320,MATCH('OPEB Amounts_Report'!A156,'Change in Proportion Layers'!$A$8:$A$320,0))</f>
        <v>460292</v>
      </c>
      <c r="M156" s="148">
        <f t="shared" si="11"/>
        <v>1440491</v>
      </c>
      <c r="N156" s="220"/>
      <c r="O156" s="220">
        <f>ROUND(VLOOKUP(A156,'Contribution Allocation_Report'!$A$9:$D$314,4,FALSE)*'OPEB Amounts_Report'!$O$321,0)</f>
        <v>-258603</v>
      </c>
      <c r="P156" s="220">
        <f>INDEX('Change in Proportion Layers'!$AC$8:$AC$320,MATCH('OPEB Amounts_Report'!A156,'Change in Proportion Layers'!$A$8:$A$320,0))</f>
        <v>-315696</v>
      </c>
      <c r="Q156" s="220">
        <f t="shared" si="12"/>
        <v>-574299</v>
      </c>
    </row>
    <row r="157" spans="1:17" ht="12" customHeight="1">
      <c r="A157" s="51">
        <v>3180</v>
      </c>
      <c r="B157" s="55" t="s">
        <v>144</v>
      </c>
      <c r="C157" s="147">
        <f>ROUND(VLOOKUP(A157,'Contribution Allocation_Report'!$A$9:$D$314,4,FALSE)*'OPEB Amounts_Report'!$C$321,0)</f>
        <v>2672984</v>
      </c>
      <c r="D157" s="147">
        <f>ROUND(VLOOKUP(A157,'Contribution Allocation_Report'!$A$9:$D$314,4,FALSE)*'OPEB Amounts_Report'!$D$321,0)</f>
        <v>16256</v>
      </c>
      <c r="E157" s="147">
        <f>ROUND(VLOOKUP(A157,'Contribution Allocation_Report'!$A$9:$D$314,4,FALSE)*'OPEB Amounts_Report'!$E$321,0)</f>
        <v>384640</v>
      </c>
      <c r="F157" s="147">
        <f>INDEX('Change in Proportion Layers'!$AE$8:$AE$320,MATCH('OPEB Amounts_Report'!A157,'Change in Proportion Layers'!$A$8:$A$320,0))</f>
        <v>107390</v>
      </c>
      <c r="G157" s="147">
        <f t="shared" si="10"/>
        <v>508286</v>
      </c>
      <c r="H157" s="147"/>
      <c r="I157" s="147">
        <f>ROUND(VLOOKUP(A157,'Contribution Allocation_Report'!$A$9:$D$314,4,FALSE)*'OPEB Amounts_Report'!$I$321,0)</f>
        <v>459286</v>
      </c>
      <c r="J157" s="147">
        <f>ROUND(VLOOKUP(A157,'Contribution Allocation_Report'!$A$9:$D$314,4,FALSE)*'OPEB Amounts_Report'!$J$321,0)</f>
        <v>40440</v>
      </c>
      <c r="K157" s="147">
        <f>ROUND(VLOOKUP(A157,'Contribution Allocation_Report'!$A$9:$D$314,4,FALSE)*$K$321,0)</f>
        <v>1232777</v>
      </c>
      <c r="L157" s="147">
        <f>INDEX('Change in Proportion Layers'!$AF$8:$AF$320,MATCH('OPEB Amounts_Report'!A157,'Change in Proportion Layers'!$A$8:$A$320,0))</f>
        <v>325107</v>
      </c>
      <c r="M157" s="147">
        <f t="shared" si="11"/>
        <v>2057610</v>
      </c>
      <c r="N157" s="221"/>
      <c r="O157" s="221">
        <f>ROUND(VLOOKUP(A157,'Contribution Allocation_Report'!$A$9:$D$314,4,FALSE)*'OPEB Amounts_Report'!$O$321,0)</f>
        <v>-457081</v>
      </c>
      <c r="P157" s="221">
        <f>INDEX('Change in Proportion Layers'!$AC$8:$AC$320,MATCH('OPEB Amounts_Report'!A157,'Change in Proportion Layers'!$A$8:$A$320,0))</f>
        <v>-95267</v>
      </c>
      <c r="Q157" s="221">
        <f t="shared" si="12"/>
        <v>-552348</v>
      </c>
    </row>
    <row r="158" spans="1:17" ht="12" customHeight="1">
      <c r="A158" s="53">
        <v>25075</v>
      </c>
      <c r="B158" s="54" t="s">
        <v>145</v>
      </c>
      <c r="C158" s="148">
        <f>ROUND(VLOOKUP(A158,'Contribution Allocation_Report'!$A$9:$D$314,4,FALSE)*'OPEB Amounts_Report'!$C$321,0)</f>
        <v>1022254</v>
      </c>
      <c r="D158" s="148">
        <f>ROUND(VLOOKUP(A158,'Contribution Allocation_Report'!$A$9:$D$314,4,FALSE)*'OPEB Amounts_Report'!$D$321,0)</f>
        <v>6217</v>
      </c>
      <c r="E158" s="148">
        <f>ROUND(VLOOKUP(A158,'Contribution Allocation_Report'!$A$9:$D$314,4,FALSE)*'OPEB Amounts_Report'!$E$321,0)</f>
        <v>147102</v>
      </c>
      <c r="F158" s="148">
        <f>INDEX('Change in Proportion Layers'!$AE$8:$AE$320,MATCH('OPEB Amounts_Report'!A158,'Change in Proportion Layers'!$A$8:$A$320,0))</f>
        <v>134903</v>
      </c>
      <c r="G158" s="148">
        <f t="shared" si="10"/>
        <v>288222</v>
      </c>
      <c r="H158" s="148"/>
      <c r="I158" s="148">
        <f>ROUND(VLOOKUP(A158,'Contribution Allocation_Report'!$A$9:$D$314,4,FALSE)*'OPEB Amounts_Report'!$I$321,0)</f>
        <v>175649</v>
      </c>
      <c r="J158" s="148">
        <f>ROUND(VLOOKUP(A158,'Contribution Allocation_Report'!$A$9:$D$314,4,FALSE)*'OPEB Amounts_Report'!$J$321,0)</f>
        <v>15466</v>
      </c>
      <c r="K158" s="148">
        <f>ROUND(VLOOKUP(A158,'Contribution Allocation_Report'!$A$9:$D$314,4,FALSE)*$K$321,0)</f>
        <v>471463</v>
      </c>
      <c r="L158" s="148">
        <f>INDEX('Change in Proportion Layers'!$AF$8:$AF$320,MATCH('OPEB Amounts_Report'!A158,'Change in Proportion Layers'!$A$8:$A$320,0))</f>
        <v>307297</v>
      </c>
      <c r="M158" s="148">
        <f t="shared" si="11"/>
        <v>969875</v>
      </c>
      <c r="N158" s="220"/>
      <c r="O158" s="220">
        <f>ROUND(VLOOKUP(A158,'Contribution Allocation_Report'!$A$9:$D$314,4,FALSE)*'OPEB Amounts_Report'!$O$321,0)</f>
        <v>-174806</v>
      </c>
      <c r="P158" s="220">
        <f>INDEX('Change in Proportion Layers'!$AC$8:$AC$320,MATCH('OPEB Amounts_Report'!A158,'Change in Proportion Layers'!$A$8:$A$320,0))</f>
        <v>-17609</v>
      </c>
      <c r="Q158" s="220">
        <f t="shared" si="12"/>
        <v>-192415</v>
      </c>
    </row>
    <row r="159" spans="1:17" ht="12" customHeight="1">
      <c r="A159" s="51">
        <v>2311</v>
      </c>
      <c r="B159" s="55" t="s">
        <v>411</v>
      </c>
      <c r="C159" s="147">
        <f>ROUND(VLOOKUP(A159,'Contribution Allocation_Report'!$A$9:$D$314,4,FALSE)*'OPEB Amounts_Report'!$C$321,0)</f>
        <v>504297</v>
      </c>
      <c r="D159" s="147">
        <f>ROUND(VLOOKUP(A159,'Contribution Allocation_Report'!$A$9:$D$314,4,FALSE)*'OPEB Amounts_Report'!$D$321,0)</f>
        <v>3067</v>
      </c>
      <c r="E159" s="147">
        <f>ROUND(VLOOKUP(A159,'Contribution Allocation_Report'!$A$9:$D$314,4,FALSE)*'OPEB Amounts_Report'!$E$321,0)</f>
        <v>72568</v>
      </c>
      <c r="F159" s="147">
        <f>INDEX('Change in Proportion Layers'!$AE$8:$AE$320,MATCH('OPEB Amounts_Report'!A159,'Change in Proportion Layers'!$A$8:$A$320,0))</f>
        <v>94261</v>
      </c>
      <c r="G159" s="147">
        <f t="shared" si="10"/>
        <v>169896</v>
      </c>
      <c r="H159" s="147"/>
      <c r="I159" s="147">
        <f>ROUND(VLOOKUP(A159,'Contribution Allocation_Report'!$A$9:$D$314,4,FALSE)*'OPEB Amounts_Report'!$I$321,0)</f>
        <v>86651</v>
      </c>
      <c r="J159" s="147">
        <f>ROUND(VLOOKUP(A159,'Contribution Allocation_Report'!$A$9:$D$314,4,FALSE)*'OPEB Amounts_Report'!$J$321,0)</f>
        <v>7630</v>
      </c>
      <c r="K159" s="147">
        <f>ROUND(VLOOKUP(A159,'Contribution Allocation_Report'!$A$9:$D$314,4,FALSE)*$K$321,0)</f>
        <v>232581</v>
      </c>
      <c r="L159" s="147">
        <f>INDEX('Change in Proportion Layers'!$AF$8:$AF$320,MATCH('OPEB Amounts_Report'!A159,'Change in Proportion Layers'!$A$8:$A$320,0))</f>
        <v>25317</v>
      </c>
      <c r="M159" s="147">
        <f t="shared" si="11"/>
        <v>352179</v>
      </c>
      <c r="N159" s="221"/>
      <c r="O159" s="221">
        <f>ROUND(VLOOKUP(A159,'Contribution Allocation_Report'!$A$9:$D$314,4,FALSE)*'OPEB Amounts_Report'!$O$321,0)</f>
        <v>-86235</v>
      </c>
      <c r="P159" s="221">
        <f>INDEX('Change in Proportion Layers'!$AC$8:$AC$320,MATCH('OPEB Amounts_Report'!A159,'Change in Proportion Layers'!$A$8:$A$320,0))</f>
        <v>54170</v>
      </c>
      <c r="Q159" s="221">
        <f t="shared" si="12"/>
        <v>-32065</v>
      </c>
    </row>
    <row r="160" spans="1:17" ht="12" customHeight="1">
      <c r="A160" s="53">
        <v>9028</v>
      </c>
      <c r="B160" s="54" t="s">
        <v>146</v>
      </c>
      <c r="C160" s="148">
        <f>ROUND(VLOOKUP(A160,'Contribution Allocation_Report'!$A$9:$D$314,4,FALSE)*'OPEB Amounts_Report'!$C$321,0)</f>
        <v>411973</v>
      </c>
      <c r="D160" s="148">
        <f>ROUND(VLOOKUP(A160,'Contribution Allocation_Report'!$A$9:$D$314,4,FALSE)*'OPEB Amounts_Report'!$D$321,0)</f>
        <v>2506</v>
      </c>
      <c r="E160" s="148">
        <f>ROUND(VLOOKUP(A160,'Contribution Allocation_Report'!$A$9:$D$314,4,FALSE)*'OPEB Amounts_Report'!$E$321,0)</f>
        <v>59283</v>
      </c>
      <c r="F160" s="148">
        <f>INDEX('Change in Proportion Layers'!$AE$8:$AE$320,MATCH('OPEB Amounts_Report'!A160,'Change in Proportion Layers'!$A$8:$A$320,0))</f>
        <v>29743</v>
      </c>
      <c r="G160" s="148">
        <f t="shared" si="10"/>
        <v>91532</v>
      </c>
      <c r="H160" s="148"/>
      <c r="I160" s="148">
        <f>ROUND(VLOOKUP(A160,'Contribution Allocation_Report'!$A$9:$D$314,4,FALSE)*'OPEB Amounts_Report'!$I$321,0)</f>
        <v>70787</v>
      </c>
      <c r="J160" s="148">
        <f>ROUND(VLOOKUP(A160,'Contribution Allocation_Report'!$A$9:$D$314,4,FALSE)*'OPEB Amounts_Report'!$J$321,0)</f>
        <v>6233</v>
      </c>
      <c r="K160" s="148">
        <f>ROUND(VLOOKUP(A160,'Contribution Allocation_Report'!$A$9:$D$314,4,FALSE)*$K$321,0)</f>
        <v>190002</v>
      </c>
      <c r="L160" s="148">
        <f>INDEX('Change in Proportion Layers'!$AF$8:$AF$320,MATCH('OPEB Amounts_Report'!A160,'Change in Proportion Layers'!$A$8:$A$320,0))</f>
        <v>81320</v>
      </c>
      <c r="M160" s="148">
        <f t="shared" si="11"/>
        <v>348342</v>
      </c>
      <c r="N160" s="220"/>
      <c r="O160" s="220">
        <f>ROUND(VLOOKUP(A160,'Contribution Allocation_Report'!$A$9:$D$314,4,FALSE)*'OPEB Amounts_Report'!$O$321,0)</f>
        <v>-70448</v>
      </c>
      <c r="P160" s="220">
        <f>INDEX('Change in Proportion Layers'!$AC$8:$AC$320,MATCH('OPEB Amounts_Report'!A160,'Change in Proportion Layers'!$A$8:$A$320,0))</f>
        <v>-24290</v>
      </c>
      <c r="Q160" s="220">
        <f t="shared" si="12"/>
        <v>-94738</v>
      </c>
    </row>
    <row r="161" spans="1:17" ht="12" customHeight="1">
      <c r="A161" s="51">
        <v>17424</v>
      </c>
      <c r="B161" s="55" t="s">
        <v>147</v>
      </c>
      <c r="C161" s="147">
        <f>ROUND(VLOOKUP(A161,'Contribution Allocation_Report'!$A$9:$D$314,4,FALSE)*'OPEB Amounts_Report'!$C$321,0)</f>
        <v>841487</v>
      </c>
      <c r="D161" s="147">
        <f>ROUND(VLOOKUP(A161,'Contribution Allocation_Report'!$A$9:$D$314,4,FALSE)*'OPEB Amounts_Report'!$D$321,0)</f>
        <v>5118</v>
      </c>
      <c r="E161" s="147">
        <f>ROUND(VLOOKUP(A161,'Contribution Allocation_Report'!$A$9:$D$314,4,FALSE)*'OPEB Amounts_Report'!$E$321,0)</f>
        <v>121089</v>
      </c>
      <c r="F161" s="147">
        <f>INDEX('Change in Proportion Layers'!$AE$8:$AE$320,MATCH('OPEB Amounts_Report'!A161,'Change in Proportion Layers'!$A$8:$A$320,0))</f>
        <v>99483</v>
      </c>
      <c r="G161" s="147">
        <f t="shared" si="10"/>
        <v>225690</v>
      </c>
      <c r="H161" s="147"/>
      <c r="I161" s="147">
        <f>ROUND(VLOOKUP(A161,'Contribution Allocation_Report'!$A$9:$D$314,4,FALSE)*'OPEB Amounts_Report'!$I$321,0)</f>
        <v>144589</v>
      </c>
      <c r="J161" s="147">
        <f>ROUND(VLOOKUP(A161,'Contribution Allocation_Report'!$A$9:$D$314,4,FALSE)*'OPEB Amounts_Report'!$J$321,0)</f>
        <v>12731</v>
      </c>
      <c r="K161" s="147">
        <f>ROUND(VLOOKUP(A161,'Contribution Allocation_Report'!$A$9:$D$314,4,FALSE)*$K$321,0)</f>
        <v>388093</v>
      </c>
      <c r="L161" s="147">
        <f>INDEX('Change in Proportion Layers'!$AF$8:$AF$320,MATCH('OPEB Amounts_Report'!A161,'Change in Proportion Layers'!$A$8:$A$320,0))</f>
        <v>46832</v>
      </c>
      <c r="M161" s="147">
        <f t="shared" si="11"/>
        <v>592245</v>
      </c>
      <c r="N161" s="221"/>
      <c r="O161" s="221">
        <f>ROUND(VLOOKUP(A161,'Contribution Allocation_Report'!$A$9:$D$314,4,FALSE)*'OPEB Amounts_Report'!$O$321,0)</f>
        <v>-143894</v>
      </c>
      <c r="P161" s="221">
        <f>INDEX('Change in Proportion Layers'!$AC$8:$AC$320,MATCH('OPEB Amounts_Report'!A161,'Change in Proportion Layers'!$A$8:$A$320,0))</f>
        <v>59757</v>
      </c>
      <c r="Q161" s="221">
        <f t="shared" si="12"/>
        <v>-84137</v>
      </c>
    </row>
    <row r="162" spans="1:17" ht="12" customHeight="1">
      <c r="A162" s="53">
        <v>3200</v>
      </c>
      <c r="B162" s="54" t="s">
        <v>148</v>
      </c>
      <c r="C162" s="148">
        <f>ROUND(VLOOKUP(A162,'Contribution Allocation_Report'!$A$9:$D$314,4,FALSE)*'OPEB Amounts_Report'!$C$321,0)</f>
        <v>2926596</v>
      </c>
      <c r="D162" s="148">
        <f>ROUND(VLOOKUP(A162,'Contribution Allocation_Report'!$A$9:$D$314,4,FALSE)*'OPEB Amounts_Report'!$D$321,0)</f>
        <v>17799</v>
      </c>
      <c r="E162" s="148">
        <f>ROUND(VLOOKUP(A162,'Contribution Allocation_Report'!$A$9:$D$314,4,FALSE)*'OPEB Amounts_Report'!$E$321,0)</f>
        <v>421135</v>
      </c>
      <c r="F162" s="148">
        <f>INDEX('Change in Proportion Layers'!$AE$8:$AE$320,MATCH('OPEB Amounts_Report'!A162,'Change in Proportion Layers'!$A$8:$A$320,0))</f>
        <v>226258</v>
      </c>
      <c r="G162" s="148">
        <f t="shared" si="10"/>
        <v>665192</v>
      </c>
      <c r="H162" s="148"/>
      <c r="I162" s="148">
        <f>ROUND(VLOOKUP(A162,'Contribution Allocation_Report'!$A$9:$D$314,4,FALSE)*'OPEB Amounts_Report'!$I$321,0)</f>
        <v>502863</v>
      </c>
      <c r="J162" s="148">
        <f>ROUND(VLOOKUP(A162,'Contribution Allocation_Report'!$A$9:$D$314,4,FALSE)*'OPEB Amounts_Report'!$J$321,0)</f>
        <v>44277</v>
      </c>
      <c r="K162" s="148">
        <f>ROUND(VLOOKUP(A162,'Contribution Allocation_Report'!$A$9:$D$314,4,FALSE)*$K$321,0)</f>
        <v>1349743</v>
      </c>
      <c r="L162" s="148">
        <f>INDEX('Change in Proportion Layers'!$AF$8:$AF$320,MATCH('OPEB Amounts_Report'!A162,'Change in Proportion Layers'!$A$8:$A$320,0))</f>
        <v>566206</v>
      </c>
      <c r="M162" s="148">
        <f t="shared" si="11"/>
        <v>2463089</v>
      </c>
      <c r="N162" s="220"/>
      <c r="O162" s="220">
        <f>ROUND(VLOOKUP(A162,'Contribution Allocation_Report'!$A$9:$D$314,4,FALSE)*'OPEB Amounts_Report'!$O$321,0)</f>
        <v>-500448</v>
      </c>
      <c r="P162" s="220">
        <f>INDEX('Change in Proportion Layers'!$AC$8:$AC$320,MATCH('OPEB Amounts_Report'!A162,'Change in Proportion Layers'!$A$8:$A$320,0))</f>
        <v>-280335</v>
      </c>
      <c r="Q162" s="220">
        <f t="shared" si="12"/>
        <v>-780783</v>
      </c>
    </row>
    <row r="163" spans="1:17" ht="12" customHeight="1">
      <c r="A163" s="51">
        <v>2365</v>
      </c>
      <c r="B163" s="55" t="s">
        <v>149</v>
      </c>
      <c r="C163" s="147">
        <f>ROUND(VLOOKUP(A163,'Contribution Allocation_Report'!$A$9:$D$314,4,FALSE)*'OPEB Amounts_Report'!$C$321,0)</f>
        <v>279945</v>
      </c>
      <c r="D163" s="147">
        <f>ROUND(VLOOKUP(A163,'Contribution Allocation_Report'!$A$9:$D$314,4,FALSE)*'OPEB Amounts_Report'!$D$321,0)</f>
        <v>1703</v>
      </c>
      <c r="E163" s="147">
        <f>ROUND(VLOOKUP(A163,'Contribution Allocation_Report'!$A$9:$D$314,4,FALSE)*'OPEB Amounts_Report'!$E$321,0)</f>
        <v>40284</v>
      </c>
      <c r="F163" s="147">
        <f>INDEX('Change in Proportion Layers'!$AE$8:$AE$320,MATCH('OPEB Amounts_Report'!A163,'Change in Proportion Layers'!$A$8:$A$320,0))</f>
        <v>0</v>
      </c>
      <c r="G163" s="147">
        <f t="shared" si="10"/>
        <v>41987</v>
      </c>
      <c r="H163" s="147"/>
      <c r="I163" s="147">
        <f>ROUND(VLOOKUP(A163,'Contribution Allocation_Report'!$A$9:$D$314,4,FALSE)*'OPEB Amounts_Report'!$I$321,0)</f>
        <v>48102</v>
      </c>
      <c r="J163" s="147">
        <f>ROUND(VLOOKUP(A163,'Contribution Allocation_Report'!$A$9:$D$314,4,FALSE)*'OPEB Amounts_Report'!$J$321,0)</f>
        <v>4235</v>
      </c>
      <c r="K163" s="147">
        <f>ROUND(VLOOKUP(A163,'Contribution Allocation_Report'!$A$9:$D$314,4,FALSE)*$K$321,0)</f>
        <v>129110</v>
      </c>
      <c r="L163" s="147">
        <f>INDEX('Change in Proportion Layers'!$AF$8:$AF$320,MATCH('OPEB Amounts_Report'!A163,'Change in Proportion Layers'!$A$8:$A$320,0))</f>
        <v>304489</v>
      </c>
      <c r="M163" s="147">
        <f t="shared" si="11"/>
        <v>485936</v>
      </c>
      <c r="N163" s="221"/>
      <c r="O163" s="221">
        <f>ROUND(VLOOKUP(A163,'Contribution Allocation_Report'!$A$9:$D$314,4,FALSE)*'OPEB Amounts_Report'!$O$321,0)</f>
        <v>-47871</v>
      </c>
      <c r="P163" s="221">
        <f>INDEX('Change in Proportion Layers'!$AC$8:$AC$320,MATCH('OPEB Amounts_Report'!A163,'Change in Proportion Layers'!$A$8:$A$320,0))</f>
        <v>-133048</v>
      </c>
      <c r="Q163" s="221">
        <f t="shared" si="12"/>
        <v>-180919</v>
      </c>
    </row>
    <row r="164" spans="1:17" ht="12" customHeight="1">
      <c r="A164" s="53">
        <v>5014</v>
      </c>
      <c r="B164" s="54" t="s">
        <v>150</v>
      </c>
      <c r="C164" s="148">
        <f>ROUND(VLOOKUP(A164,'Contribution Allocation_Report'!$A$9:$D$314,4,FALSE)*'OPEB Amounts_Report'!$C$321,0)</f>
        <v>604128</v>
      </c>
      <c r="D164" s="148">
        <f>ROUND(VLOOKUP(A164,'Contribution Allocation_Report'!$A$9:$D$314,4,FALSE)*'OPEB Amounts_Report'!$D$321,0)</f>
        <v>3674</v>
      </c>
      <c r="E164" s="148">
        <f>ROUND(VLOOKUP(A164,'Contribution Allocation_Report'!$A$9:$D$314,4,FALSE)*'OPEB Amounts_Report'!$E$321,0)</f>
        <v>86934</v>
      </c>
      <c r="F164" s="148">
        <f>INDEX('Change in Proportion Layers'!$AE$8:$AE$320,MATCH('OPEB Amounts_Report'!A164,'Change in Proportion Layers'!$A$8:$A$320,0))</f>
        <v>25751</v>
      </c>
      <c r="G164" s="148">
        <f t="shared" si="10"/>
        <v>116359</v>
      </c>
      <c r="H164" s="148"/>
      <c r="I164" s="148">
        <f>ROUND(VLOOKUP(A164,'Contribution Allocation_Report'!$A$9:$D$314,4,FALSE)*'OPEB Amounts_Report'!$I$321,0)</f>
        <v>103804</v>
      </c>
      <c r="J164" s="148">
        <f>ROUND(VLOOKUP(A164,'Contribution Allocation_Report'!$A$9:$D$314,4,FALSE)*'OPEB Amounts_Report'!$J$321,0)</f>
        <v>9140</v>
      </c>
      <c r="K164" s="148">
        <f>ROUND(VLOOKUP(A164,'Contribution Allocation_Report'!$A$9:$D$314,4,FALSE)*$K$321,0)</f>
        <v>278623</v>
      </c>
      <c r="L164" s="148">
        <f>INDEX('Change in Proportion Layers'!$AF$8:$AF$320,MATCH('OPEB Amounts_Report'!A164,'Change in Proportion Layers'!$A$8:$A$320,0))</f>
        <v>52499</v>
      </c>
      <c r="M164" s="148">
        <f t="shared" si="11"/>
        <v>444066</v>
      </c>
      <c r="N164" s="220"/>
      <c r="O164" s="220">
        <f>ROUND(VLOOKUP(A164,'Contribution Allocation_Report'!$A$9:$D$314,4,FALSE)*'OPEB Amounts_Report'!$O$321,0)</f>
        <v>-103306</v>
      </c>
      <c r="P164" s="220">
        <f>INDEX('Change in Proportion Layers'!$AC$8:$AC$320,MATCH('OPEB Amounts_Report'!A164,'Change in Proportion Layers'!$A$8:$A$320,0))</f>
        <v>-1180</v>
      </c>
      <c r="Q164" s="220">
        <f t="shared" si="12"/>
        <v>-104486</v>
      </c>
    </row>
    <row r="165" spans="1:17" ht="12" customHeight="1">
      <c r="A165" s="51">
        <v>17127</v>
      </c>
      <c r="B165" s="55" t="s">
        <v>151</v>
      </c>
      <c r="C165" s="147">
        <f>ROUND(VLOOKUP(A165,'Contribution Allocation_Report'!$A$9:$D$314,4,FALSE)*'OPEB Amounts_Report'!$C$321,0)</f>
        <v>625628</v>
      </c>
      <c r="D165" s="147">
        <f>ROUND(VLOOKUP(A165,'Contribution Allocation_Report'!$A$9:$D$314,4,FALSE)*'OPEB Amounts_Report'!$D$321,0)</f>
        <v>3805</v>
      </c>
      <c r="E165" s="147">
        <f>ROUND(VLOOKUP(A165,'Contribution Allocation_Report'!$A$9:$D$314,4,FALSE)*'OPEB Amounts_Report'!$E$321,0)</f>
        <v>90027</v>
      </c>
      <c r="F165" s="147">
        <f>INDEX('Change in Proportion Layers'!$AE$8:$AE$320,MATCH('OPEB Amounts_Report'!A165,'Change in Proportion Layers'!$A$8:$A$320,0))</f>
        <v>67866</v>
      </c>
      <c r="G165" s="147">
        <f t="shared" si="10"/>
        <v>161698</v>
      </c>
      <c r="H165" s="147"/>
      <c r="I165" s="147">
        <f>ROUND(VLOOKUP(A165,'Contribution Allocation_Report'!$A$9:$D$314,4,FALSE)*'OPEB Amounts_Report'!$I$321,0)</f>
        <v>107499</v>
      </c>
      <c r="J165" s="147">
        <f>ROUND(VLOOKUP(A165,'Contribution Allocation_Report'!$A$9:$D$314,4,FALSE)*'OPEB Amounts_Report'!$J$321,0)</f>
        <v>9465</v>
      </c>
      <c r="K165" s="147">
        <f>ROUND(VLOOKUP(A165,'Contribution Allocation_Report'!$A$9:$D$314,4,FALSE)*$K$321,0)</f>
        <v>288539</v>
      </c>
      <c r="L165" s="147">
        <f>INDEX('Change in Proportion Layers'!$AF$8:$AF$320,MATCH('OPEB Amounts_Report'!A165,'Change in Proportion Layers'!$A$8:$A$320,0))</f>
        <v>157722</v>
      </c>
      <c r="M165" s="147">
        <f t="shared" si="11"/>
        <v>563225</v>
      </c>
      <c r="N165" s="221"/>
      <c r="O165" s="221">
        <f>ROUND(VLOOKUP(A165,'Contribution Allocation_Report'!$A$9:$D$314,4,FALSE)*'OPEB Amounts_Report'!$O$321,0)</f>
        <v>-106983</v>
      </c>
      <c r="P165" s="221">
        <f>INDEX('Change in Proportion Layers'!$AC$8:$AC$320,MATCH('OPEB Amounts_Report'!A165,'Change in Proportion Layers'!$A$8:$A$320,0))</f>
        <v>73030</v>
      </c>
      <c r="Q165" s="221">
        <f t="shared" si="12"/>
        <v>-33953</v>
      </c>
    </row>
    <row r="166" spans="1:17" ht="12" customHeight="1">
      <c r="A166" s="53">
        <v>10141</v>
      </c>
      <c r="B166" s="54" t="s">
        <v>152</v>
      </c>
      <c r="C166" s="148">
        <f>ROUND(VLOOKUP(A166,'Contribution Allocation_Report'!$A$9:$D$314,4,FALSE)*'OPEB Amounts_Report'!$C$321,0)</f>
        <v>874947</v>
      </c>
      <c r="D166" s="148">
        <f>ROUND(VLOOKUP(A166,'Contribution Allocation_Report'!$A$9:$D$314,4,FALSE)*'OPEB Amounts_Report'!$D$321,0)</f>
        <v>5321</v>
      </c>
      <c r="E166" s="148">
        <f>ROUND(VLOOKUP(A166,'Contribution Allocation_Report'!$A$9:$D$314,4,FALSE)*'OPEB Amounts_Report'!$E$321,0)</f>
        <v>125904</v>
      </c>
      <c r="F166" s="148">
        <f>INDEX('Change in Proportion Layers'!$AE$8:$AE$320,MATCH('OPEB Amounts_Report'!A166,'Change in Proportion Layers'!$A$8:$A$320,0))</f>
        <v>581659</v>
      </c>
      <c r="G166" s="148">
        <f t="shared" si="10"/>
        <v>712884</v>
      </c>
      <c r="H166" s="148"/>
      <c r="I166" s="148">
        <f>ROUND(VLOOKUP(A166,'Contribution Allocation_Report'!$A$9:$D$314,4,FALSE)*'OPEB Amounts_Report'!$I$321,0)</f>
        <v>150338</v>
      </c>
      <c r="J166" s="148">
        <f>ROUND(VLOOKUP(A166,'Contribution Allocation_Report'!$A$9:$D$314,4,FALSE)*'OPEB Amounts_Report'!$J$321,0)</f>
        <v>13237</v>
      </c>
      <c r="K166" s="148">
        <f>ROUND(VLOOKUP(A166,'Contribution Allocation_Report'!$A$9:$D$314,4,FALSE)*$K$321,0)</f>
        <v>403525</v>
      </c>
      <c r="L166" s="148">
        <f>INDEX('Change in Proportion Layers'!$AF$8:$AF$320,MATCH('OPEB Amounts_Report'!A166,'Change in Proportion Layers'!$A$8:$A$320,0))</f>
        <v>902769</v>
      </c>
      <c r="M166" s="148">
        <f t="shared" si="11"/>
        <v>1469869</v>
      </c>
      <c r="N166" s="220"/>
      <c r="O166" s="220">
        <f>ROUND(VLOOKUP(A166,'Contribution Allocation_Report'!$A$9:$D$314,4,FALSE)*'OPEB Amounts_Report'!$O$321,0)</f>
        <v>-149616</v>
      </c>
      <c r="P166" s="220">
        <f>INDEX('Change in Proportion Layers'!$AC$8:$AC$320,MATCH('OPEB Amounts_Report'!A166,'Change in Proportion Layers'!$A$8:$A$320,0))</f>
        <v>-59382</v>
      </c>
      <c r="Q166" s="220">
        <f t="shared" si="12"/>
        <v>-208998</v>
      </c>
    </row>
    <row r="167" spans="1:17" ht="12" customHeight="1">
      <c r="A167" s="51">
        <v>4570</v>
      </c>
      <c r="B167" s="55" t="s">
        <v>395</v>
      </c>
      <c r="C167" s="147">
        <f>ROUND(VLOOKUP(A167,'Contribution Allocation_Report'!$A$9:$D$314,4,FALSE)*'OPEB Amounts_Report'!$C$321,0)</f>
        <v>2393475</v>
      </c>
      <c r="D167" s="147">
        <f>ROUND(VLOOKUP(A167,'Contribution Allocation_Report'!$A$9:$D$314,4,FALSE)*'OPEB Amounts_Report'!$D$321,0)</f>
        <v>14556</v>
      </c>
      <c r="E167" s="147">
        <f>ROUND(VLOOKUP(A167,'Contribution Allocation_Report'!$A$9:$D$314,4,FALSE)*'OPEB Amounts_Report'!$E$321,0)</f>
        <v>344419</v>
      </c>
      <c r="F167" s="147">
        <f>INDEX('Change in Proportion Layers'!$AE$8:$AE$320,MATCH('OPEB Amounts_Report'!A167,'Change in Proportion Layers'!$A$8:$A$320,0))</f>
        <v>309466</v>
      </c>
      <c r="G167" s="147">
        <f t="shared" si="10"/>
        <v>668441</v>
      </c>
      <c r="H167" s="147"/>
      <c r="I167" s="147">
        <f>ROUND(VLOOKUP(A167,'Contribution Allocation_Report'!$A$9:$D$314,4,FALSE)*'OPEB Amounts_Report'!$I$321,0)</f>
        <v>411259</v>
      </c>
      <c r="J167" s="147">
        <f>ROUND(VLOOKUP(A167,'Contribution Allocation_Report'!$A$9:$D$314,4,FALSE)*'OPEB Amounts_Report'!$J$321,0)</f>
        <v>36211</v>
      </c>
      <c r="K167" s="147">
        <f>ROUND(VLOOKUP(A167,'Contribution Allocation_Report'!$A$9:$D$314,4,FALSE)*$K$321,0)</f>
        <v>1103868</v>
      </c>
      <c r="L167" s="147">
        <f>INDEX('Change in Proportion Layers'!$AF$8:$AF$320,MATCH('OPEB Amounts_Report'!A167,'Change in Proportion Layers'!$A$8:$A$320,0))</f>
        <v>136797</v>
      </c>
      <c r="M167" s="147">
        <f t="shared" si="11"/>
        <v>1688135</v>
      </c>
      <c r="N167" s="221"/>
      <c r="O167" s="221">
        <f>ROUND(VLOOKUP(A167,'Contribution Allocation_Report'!$A$9:$D$314,4,FALSE)*'OPEB Amounts_Report'!$O$321,0)</f>
        <v>-409285</v>
      </c>
      <c r="P167" s="221">
        <f>INDEX('Change in Proportion Layers'!$AC$8:$AC$320,MATCH('OPEB Amounts_Report'!A167,'Change in Proportion Layers'!$A$8:$A$320,0))</f>
        <v>50486</v>
      </c>
      <c r="Q167" s="221">
        <f t="shared" si="12"/>
        <v>-358799</v>
      </c>
    </row>
    <row r="168" spans="1:17" ht="12" customHeight="1">
      <c r="A168" s="53">
        <v>13369</v>
      </c>
      <c r="B168" s="54" t="s">
        <v>153</v>
      </c>
      <c r="C168" s="148">
        <f>ROUND(VLOOKUP(A168,'Contribution Allocation_Report'!$A$9:$D$314,4,FALSE)*'OPEB Amounts_Report'!$C$321,0)</f>
        <v>211990</v>
      </c>
      <c r="D168" s="148">
        <f>ROUND(VLOOKUP(A168,'Contribution Allocation_Report'!$A$9:$D$314,4,FALSE)*'OPEB Amounts_Report'!$D$321,0)</f>
        <v>1289</v>
      </c>
      <c r="E168" s="148">
        <f>ROUND(VLOOKUP(A168,'Contribution Allocation_Report'!$A$9:$D$314,4,FALSE)*'OPEB Amounts_Report'!$E$321,0)</f>
        <v>30505</v>
      </c>
      <c r="F168" s="148">
        <f>INDEX('Change in Proportion Layers'!$AE$8:$AE$320,MATCH('OPEB Amounts_Report'!A168,'Change in Proportion Layers'!$A$8:$A$320,0))</f>
        <v>15649</v>
      </c>
      <c r="G168" s="148">
        <f t="shared" si="10"/>
        <v>47443</v>
      </c>
      <c r="H168" s="148"/>
      <c r="I168" s="148">
        <f>ROUND(VLOOKUP(A168,'Contribution Allocation_Report'!$A$9:$D$314,4,FALSE)*'OPEB Amounts_Report'!$I$321,0)</f>
        <v>36425</v>
      </c>
      <c r="J168" s="148">
        <f>ROUND(VLOOKUP(A168,'Contribution Allocation_Report'!$A$9:$D$314,4,FALSE)*'OPEB Amounts_Report'!$J$321,0)</f>
        <v>3207</v>
      </c>
      <c r="K168" s="148">
        <f>ROUND(VLOOKUP(A168,'Contribution Allocation_Report'!$A$9:$D$314,4,FALSE)*$K$321,0)</f>
        <v>97770</v>
      </c>
      <c r="L168" s="148">
        <f>INDEX('Change in Proportion Layers'!$AF$8:$AF$320,MATCH('OPEB Amounts_Report'!A168,'Change in Proportion Layers'!$A$8:$A$320,0))</f>
        <v>31252</v>
      </c>
      <c r="M168" s="148">
        <f t="shared" si="11"/>
        <v>168654</v>
      </c>
      <c r="N168" s="220"/>
      <c r="O168" s="220">
        <f>ROUND(VLOOKUP(A168,'Contribution Allocation_Report'!$A$9:$D$314,4,FALSE)*'OPEB Amounts_Report'!$O$321,0)</f>
        <v>-36250</v>
      </c>
      <c r="P168" s="220">
        <f>INDEX('Change in Proportion Layers'!$AC$8:$AC$320,MATCH('OPEB Amounts_Report'!A168,'Change in Proportion Layers'!$A$8:$A$320,0))</f>
        <v>7626</v>
      </c>
      <c r="Q168" s="220">
        <f t="shared" si="12"/>
        <v>-28624</v>
      </c>
    </row>
    <row r="169" spans="1:17" ht="12" customHeight="1">
      <c r="A169" s="51">
        <v>2425</v>
      </c>
      <c r="B169" s="55" t="s">
        <v>154</v>
      </c>
      <c r="C169" s="147">
        <f>ROUND(VLOOKUP(A169,'Contribution Allocation_Report'!$A$9:$D$314,4,FALSE)*'OPEB Amounts_Report'!$C$321,0)</f>
        <v>3836450</v>
      </c>
      <c r="D169" s="147">
        <f>ROUND(VLOOKUP(A169,'Contribution Allocation_Report'!$A$9:$D$314,4,FALSE)*'OPEB Amounts_Report'!$D$321,0)</f>
        <v>23332</v>
      </c>
      <c r="E169" s="147">
        <f>ROUND(VLOOKUP(A169,'Contribution Allocation_Report'!$A$9:$D$314,4,FALSE)*'OPEB Amounts_Report'!$E$321,0)</f>
        <v>552062</v>
      </c>
      <c r="F169" s="147">
        <f>INDEX('Change in Proportion Layers'!$AE$8:$AE$320,MATCH('OPEB Amounts_Report'!A169,'Change in Proportion Layers'!$A$8:$A$320,0))</f>
        <v>2330141</v>
      </c>
      <c r="G169" s="147">
        <f t="shared" si="10"/>
        <v>2905535</v>
      </c>
      <c r="H169" s="147"/>
      <c r="I169" s="147">
        <f>ROUND(VLOOKUP(A169,'Contribution Allocation_Report'!$A$9:$D$314,4,FALSE)*'OPEB Amounts_Report'!$I$321,0)</f>
        <v>659198</v>
      </c>
      <c r="J169" s="147">
        <f>ROUND(VLOOKUP(A169,'Contribution Allocation_Report'!$A$9:$D$314,4,FALSE)*'OPEB Amounts_Report'!$J$321,0)</f>
        <v>58042</v>
      </c>
      <c r="K169" s="147">
        <f>ROUND(VLOOKUP(A169,'Contribution Allocation_Report'!$A$9:$D$314,4,FALSE)*$K$321,0)</f>
        <v>1769367</v>
      </c>
      <c r="L169" s="147">
        <f>INDEX('Change in Proportion Layers'!$AF$8:$AF$320,MATCH('OPEB Amounts_Report'!A169,'Change in Proportion Layers'!$A$8:$A$320,0))</f>
        <v>1253863</v>
      </c>
      <c r="M169" s="147">
        <f t="shared" si="11"/>
        <v>3740470</v>
      </c>
      <c r="N169" s="221"/>
      <c r="O169" s="221">
        <f>ROUND(VLOOKUP(A169,'Contribution Allocation_Report'!$A$9:$D$314,4,FALSE)*'OPEB Amounts_Report'!$O$321,0)</f>
        <v>-656034</v>
      </c>
      <c r="P169" s="221">
        <f>INDEX('Change in Proportion Layers'!$AC$8:$AC$320,MATCH('OPEB Amounts_Report'!A169,'Change in Proportion Layers'!$A$8:$A$320,0))</f>
        <v>1100181</v>
      </c>
      <c r="Q169" s="221">
        <f t="shared" si="12"/>
        <v>444147</v>
      </c>
    </row>
    <row r="170" spans="1:17" ht="12" customHeight="1">
      <c r="A170" s="53">
        <v>1306</v>
      </c>
      <c r="B170" s="54" t="s">
        <v>155</v>
      </c>
      <c r="C170" s="148">
        <f>ROUND(VLOOKUP(A170,'Contribution Allocation_Report'!$A$9:$D$314,4,FALSE)*'OPEB Amounts_Report'!$C$321,0)</f>
        <v>751562</v>
      </c>
      <c r="D170" s="148">
        <f>ROUND(VLOOKUP(A170,'Contribution Allocation_Report'!$A$9:$D$314,4,FALSE)*'OPEB Amounts_Report'!$D$321,0)</f>
        <v>4571</v>
      </c>
      <c r="E170" s="148">
        <f>ROUND(VLOOKUP(A170,'Contribution Allocation_Report'!$A$9:$D$314,4,FALSE)*'OPEB Amounts_Report'!$E$321,0)</f>
        <v>108149</v>
      </c>
      <c r="F170" s="148">
        <f>INDEX('Change in Proportion Layers'!$AE$8:$AE$320,MATCH('OPEB Amounts_Report'!A170,'Change in Proportion Layers'!$A$8:$A$320,0))</f>
        <v>202023</v>
      </c>
      <c r="G170" s="148">
        <f t="shared" si="10"/>
        <v>314743</v>
      </c>
      <c r="H170" s="148"/>
      <c r="I170" s="148">
        <f>ROUND(VLOOKUP(A170,'Contribution Allocation_Report'!$A$9:$D$314,4,FALSE)*'OPEB Amounts_Report'!$I$321,0)</f>
        <v>129137</v>
      </c>
      <c r="J170" s="148">
        <f>ROUND(VLOOKUP(A170,'Contribution Allocation_Report'!$A$9:$D$314,4,FALSE)*'OPEB Amounts_Report'!$J$321,0)</f>
        <v>11370</v>
      </c>
      <c r="K170" s="148">
        <f>ROUND(VLOOKUP(A170,'Contribution Allocation_Report'!$A$9:$D$314,4,FALSE)*$K$321,0)</f>
        <v>346619</v>
      </c>
      <c r="L170" s="148">
        <f>INDEX('Change in Proportion Layers'!$AF$8:$AF$320,MATCH('OPEB Amounts_Report'!A170,'Change in Proportion Layers'!$A$8:$A$320,0))</f>
        <v>171005</v>
      </c>
      <c r="M170" s="148">
        <f t="shared" si="11"/>
        <v>658131</v>
      </c>
      <c r="N170" s="220"/>
      <c r="O170" s="220">
        <f>ROUND(VLOOKUP(A170,'Contribution Allocation_Report'!$A$9:$D$314,4,FALSE)*'OPEB Amounts_Report'!$O$321,0)</f>
        <v>-128517</v>
      </c>
      <c r="P170" s="220">
        <f>INDEX('Change in Proportion Layers'!$AC$8:$AC$320,MATCH('OPEB Amounts_Report'!A170,'Change in Proportion Layers'!$A$8:$A$320,0))</f>
        <v>34012</v>
      </c>
      <c r="Q170" s="220">
        <f t="shared" si="12"/>
        <v>-94505</v>
      </c>
    </row>
    <row r="171" spans="1:17" ht="12" customHeight="1">
      <c r="A171" s="51">
        <v>2351</v>
      </c>
      <c r="B171" s="55" t="s">
        <v>156</v>
      </c>
      <c r="C171" s="147">
        <f>ROUND(VLOOKUP(A171,'Contribution Allocation_Report'!$A$9:$D$314,4,FALSE)*'OPEB Amounts_Report'!$C$321,0)</f>
        <v>742494</v>
      </c>
      <c r="D171" s="147">
        <f>ROUND(VLOOKUP(A171,'Contribution Allocation_Report'!$A$9:$D$314,4,FALSE)*'OPEB Amounts_Report'!$D$321,0)</f>
        <v>4516</v>
      </c>
      <c r="E171" s="147">
        <f>ROUND(VLOOKUP(A171,'Contribution Allocation_Report'!$A$9:$D$314,4,FALSE)*'OPEB Amounts_Report'!$E$321,0)</f>
        <v>106844</v>
      </c>
      <c r="F171" s="147">
        <f>INDEX('Change in Proportion Layers'!$AE$8:$AE$320,MATCH('OPEB Amounts_Report'!A171,'Change in Proportion Layers'!$A$8:$A$320,0))</f>
        <v>204222</v>
      </c>
      <c r="G171" s="147">
        <f t="shared" si="10"/>
        <v>315582</v>
      </c>
      <c r="H171" s="147"/>
      <c r="I171" s="147">
        <f>ROUND(VLOOKUP(A171,'Contribution Allocation_Report'!$A$9:$D$314,4,FALSE)*'OPEB Amounts_Report'!$I$321,0)</f>
        <v>127579</v>
      </c>
      <c r="J171" s="147">
        <f>ROUND(VLOOKUP(A171,'Contribution Allocation_Report'!$A$9:$D$314,4,FALSE)*'OPEB Amounts_Report'!$J$321,0)</f>
        <v>11233</v>
      </c>
      <c r="K171" s="147">
        <f>ROUND(VLOOKUP(A171,'Contribution Allocation_Report'!$A$9:$D$314,4,FALSE)*$K$321,0)</f>
        <v>342437</v>
      </c>
      <c r="L171" s="147">
        <f>INDEX('Change in Proportion Layers'!$AF$8:$AF$320,MATCH('OPEB Amounts_Report'!A171,'Change in Proportion Layers'!$A$8:$A$320,0))</f>
        <v>43844</v>
      </c>
      <c r="M171" s="147">
        <f t="shared" si="11"/>
        <v>525093</v>
      </c>
      <c r="N171" s="221"/>
      <c r="O171" s="221">
        <f>ROUND(VLOOKUP(A171,'Contribution Allocation_Report'!$A$9:$D$314,4,FALSE)*'OPEB Amounts_Report'!$O$321,0)</f>
        <v>-126967</v>
      </c>
      <c r="P171" s="221">
        <f>INDEX('Change in Proportion Layers'!$AC$8:$AC$320,MATCH('OPEB Amounts_Report'!A171,'Change in Proportion Layers'!$A$8:$A$320,0))</f>
        <v>90047</v>
      </c>
      <c r="Q171" s="221">
        <f t="shared" si="12"/>
        <v>-36920</v>
      </c>
    </row>
    <row r="172" spans="1:17" ht="12" customHeight="1">
      <c r="A172" s="53">
        <v>2334</v>
      </c>
      <c r="B172" s="54" t="s">
        <v>157</v>
      </c>
      <c r="C172" s="148">
        <f>ROUND(VLOOKUP(A172,'Contribution Allocation_Report'!$A$9:$D$314,4,FALSE)*'OPEB Amounts_Report'!$C$321,0)</f>
        <v>489145</v>
      </c>
      <c r="D172" s="148">
        <f>ROUND(VLOOKUP(A172,'Contribution Allocation_Report'!$A$9:$D$314,4,FALSE)*'OPEB Amounts_Report'!$D$321,0)</f>
        <v>2975</v>
      </c>
      <c r="E172" s="148">
        <f>ROUND(VLOOKUP(A172,'Contribution Allocation_Report'!$A$9:$D$314,4,FALSE)*'OPEB Amounts_Report'!$E$321,0)</f>
        <v>70388</v>
      </c>
      <c r="F172" s="148">
        <f>INDEX('Change in Proportion Layers'!$AE$8:$AE$320,MATCH('OPEB Amounts_Report'!A172,'Change in Proportion Layers'!$A$8:$A$320,0))</f>
        <v>103465</v>
      </c>
      <c r="G172" s="148">
        <f t="shared" si="10"/>
        <v>176828</v>
      </c>
      <c r="H172" s="148"/>
      <c r="I172" s="148">
        <f>ROUND(VLOOKUP(A172,'Contribution Allocation_Report'!$A$9:$D$314,4,FALSE)*'OPEB Amounts_Report'!$I$321,0)</f>
        <v>84047</v>
      </c>
      <c r="J172" s="148">
        <f>ROUND(VLOOKUP(A172,'Contribution Allocation_Report'!$A$9:$D$314,4,FALSE)*'OPEB Amounts_Report'!$J$321,0)</f>
        <v>7400</v>
      </c>
      <c r="K172" s="148">
        <f>ROUND(VLOOKUP(A172,'Contribution Allocation_Report'!$A$9:$D$314,4,FALSE)*$K$321,0)</f>
        <v>225593</v>
      </c>
      <c r="L172" s="148">
        <f>INDEX('Change in Proportion Layers'!$AF$8:$AF$320,MATCH('OPEB Amounts_Report'!A172,'Change in Proportion Layers'!$A$8:$A$320,0))</f>
        <v>52824</v>
      </c>
      <c r="M172" s="148">
        <f t="shared" si="11"/>
        <v>369864</v>
      </c>
      <c r="N172" s="220"/>
      <c r="O172" s="220">
        <f>ROUND(VLOOKUP(A172,'Contribution Allocation_Report'!$A$9:$D$314,4,FALSE)*'OPEB Amounts_Report'!$O$321,0)</f>
        <v>-83644</v>
      </c>
      <c r="P172" s="220">
        <f>INDEX('Change in Proportion Layers'!$AC$8:$AC$320,MATCH('OPEB Amounts_Report'!A172,'Change in Proportion Layers'!$A$8:$A$320,0))</f>
        <v>33141</v>
      </c>
      <c r="Q172" s="220">
        <f t="shared" si="12"/>
        <v>-50503</v>
      </c>
    </row>
    <row r="173" spans="1:17" ht="12" customHeight="1">
      <c r="A173" s="51">
        <v>30089</v>
      </c>
      <c r="B173" s="55" t="s">
        <v>158</v>
      </c>
      <c r="C173" s="147">
        <f>ROUND(VLOOKUP(A173,'Contribution Allocation_Report'!$A$9:$D$314,4,FALSE)*'OPEB Amounts_Report'!$C$321,0)</f>
        <v>1139510</v>
      </c>
      <c r="D173" s="147">
        <f>ROUND(VLOOKUP(A173,'Contribution Allocation_Report'!$A$9:$D$314,4,FALSE)*'OPEB Amounts_Report'!$D$321,0)</f>
        <v>6930</v>
      </c>
      <c r="E173" s="147">
        <f>ROUND(VLOOKUP(A173,'Contribution Allocation_Report'!$A$9:$D$314,4,FALSE)*'OPEB Amounts_Report'!$E$321,0)</f>
        <v>163975</v>
      </c>
      <c r="F173" s="147">
        <f>INDEX('Change in Proportion Layers'!$AE$8:$AE$320,MATCH('OPEB Amounts_Report'!A173,'Change in Proportion Layers'!$A$8:$A$320,0))</f>
        <v>188876</v>
      </c>
      <c r="G173" s="147">
        <f t="shared" si="10"/>
        <v>359781</v>
      </c>
      <c r="H173" s="147"/>
      <c r="I173" s="147">
        <f>ROUND(VLOOKUP(A173,'Contribution Allocation_Report'!$A$9:$D$314,4,FALSE)*'OPEB Amounts_Report'!$I$321,0)</f>
        <v>195796</v>
      </c>
      <c r="J173" s="147">
        <f>ROUND(VLOOKUP(A173,'Contribution Allocation_Report'!$A$9:$D$314,4,FALSE)*'OPEB Amounts_Report'!$J$321,0)</f>
        <v>17240</v>
      </c>
      <c r="K173" s="147">
        <f>ROUND(VLOOKUP(A173,'Contribution Allocation_Report'!$A$9:$D$314,4,FALSE)*$K$321,0)</f>
        <v>525541</v>
      </c>
      <c r="L173" s="147">
        <f>INDEX('Change in Proportion Layers'!$AF$8:$AF$320,MATCH('OPEB Amounts_Report'!A173,'Change in Proportion Layers'!$A$8:$A$320,0))</f>
        <v>471026</v>
      </c>
      <c r="M173" s="147">
        <f t="shared" si="11"/>
        <v>1209603</v>
      </c>
      <c r="N173" s="221"/>
      <c r="O173" s="221">
        <f>ROUND(VLOOKUP(A173,'Contribution Allocation_Report'!$A$9:$D$314,4,FALSE)*'OPEB Amounts_Report'!$O$321,0)</f>
        <v>-194856</v>
      </c>
      <c r="P173" s="221">
        <f>INDEX('Change in Proportion Layers'!$AC$8:$AC$320,MATCH('OPEB Amounts_Report'!A173,'Change in Proportion Layers'!$A$8:$A$320,0))</f>
        <v>-87667</v>
      </c>
      <c r="Q173" s="221">
        <f t="shared" si="12"/>
        <v>-282523</v>
      </c>
    </row>
    <row r="174" spans="1:17" ht="12" customHeight="1">
      <c r="A174" s="53">
        <v>9324</v>
      </c>
      <c r="B174" s="54" t="s">
        <v>159</v>
      </c>
      <c r="C174" s="148">
        <f>ROUND(VLOOKUP(A174,'Contribution Allocation_Report'!$A$9:$D$314,4,FALSE)*'OPEB Amounts_Report'!$C$321,0)</f>
        <v>120401</v>
      </c>
      <c r="D174" s="148">
        <f>ROUND(VLOOKUP(A174,'Contribution Allocation_Report'!$A$9:$D$314,4,FALSE)*'OPEB Amounts_Report'!$D$321,0)</f>
        <v>732</v>
      </c>
      <c r="E174" s="148">
        <f>ROUND(VLOOKUP(A174,'Contribution Allocation_Report'!$A$9:$D$314,4,FALSE)*'OPEB Amounts_Report'!$E$321,0)</f>
        <v>17326</v>
      </c>
      <c r="F174" s="148">
        <f>INDEX('Change in Proportion Layers'!$AE$8:$AE$320,MATCH('OPEB Amounts_Report'!A174,'Change in Proportion Layers'!$A$8:$A$320,0))</f>
        <v>47048</v>
      </c>
      <c r="G174" s="148">
        <f t="shared" si="10"/>
        <v>65106</v>
      </c>
      <c r="H174" s="148"/>
      <c r="I174" s="148">
        <f>ROUND(VLOOKUP(A174,'Contribution Allocation_Report'!$A$9:$D$314,4,FALSE)*'OPEB Amounts_Report'!$I$321,0)</f>
        <v>20688</v>
      </c>
      <c r="J174" s="148">
        <f>ROUND(VLOOKUP(A174,'Contribution Allocation_Report'!$A$9:$D$314,4,FALSE)*'OPEB Amounts_Report'!$J$321,0)</f>
        <v>1822</v>
      </c>
      <c r="K174" s="148">
        <f>ROUND(VLOOKUP(A174,'Contribution Allocation_Report'!$A$9:$D$314,4,FALSE)*$K$321,0)</f>
        <v>55529</v>
      </c>
      <c r="L174" s="148">
        <f>INDEX('Change in Proportion Layers'!$AF$8:$AF$320,MATCH('OPEB Amounts_Report'!A174,'Change in Proportion Layers'!$A$8:$A$320,0))</f>
        <v>132307</v>
      </c>
      <c r="M174" s="148">
        <f t="shared" si="11"/>
        <v>210346</v>
      </c>
      <c r="N174" s="220"/>
      <c r="O174" s="220">
        <f>ROUND(VLOOKUP(A174,'Contribution Allocation_Report'!$A$9:$D$314,4,FALSE)*'OPEB Amounts_Report'!$O$321,0)</f>
        <v>-20589</v>
      </c>
      <c r="P174" s="220">
        <f>INDEX('Change in Proportion Layers'!$AC$8:$AC$320,MATCH('OPEB Amounts_Report'!A174,'Change in Proportion Layers'!$A$8:$A$320,0))</f>
        <v>-2776</v>
      </c>
      <c r="Q174" s="220">
        <f t="shared" si="12"/>
        <v>-23365</v>
      </c>
    </row>
    <row r="175" spans="1:17" ht="12" customHeight="1">
      <c r="A175" s="51">
        <v>22066</v>
      </c>
      <c r="B175" s="55" t="s">
        <v>160</v>
      </c>
      <c r="C175" s="147">
        <f>ROUND(VLOOKUP(A175,'Contribution Allocation_Report'!$A$9:$D$314,4,FALSE)*'OPEB Amounts_Report'!$C$321,0)</f>
        <v>5339459</v>
      </c>
      <c r="D175" s="147">
        <f>ROUND(VLOOKUP(A175,'Contribution Allocation_Report'!$A$9:$D$314,4,FALSE)*'OPEB Amounts_Report'!$D$321,0)</f>
        <v>32473</v>
      </c>
      <c r="E175" s="147">
        <f>ROUND(VLOOKUP(A175,'Contribution Allocation_Report'!$A$9:$D$314,4,FALSE)*'OPEB Amounts_Report'!$E$321,0)</f>
        <v>768344</v>
      </c>
      <c r="F175" s="147">
        <f>INDEX('Change in Proportion Layers'!$AE$8:$AE$320,MATCH('OPEB Amounts_Report'!A175,'Change in Proportion Layers'!$A$8:$A$320,0))</f>
        <v>823878</v>
      </c>
      <c r="G175" s="147">
        <f t="shared" si="10"/>
        <v>1624695</v>
      </c>
      <c r="H175" s="147"/>
      <c r="I175" s="147">
        <f>ROUND(VLOOKUP(A175,'Contribution Allocation_Report'!$A$9:$D$314,4,FALSE)*'OPEB Amounts_Report'!$I$321,0)</f>
        <v>917453</v>
      </c>
      <c r="J175" s="147">
        <f>ROUND(VLOOKUP(A175,'Contribution Allocation_Report'!$A$9:$D$314,4,FALSE)*'OPEB Amounts_Report'!$J$321,0)</f>
        <v>80781</v>
      </c>
      <c r="K175" s="147">
        <f>ROUND(VLOOKUP(A175,'Contribution Allocation_Report'!$A$9:$D$314,4,FALSE)*$K$321,0)</f>
        <v>2462553</v>
      </c>
      <c r="L175" s="147">
        <f>INDEX('Change in Proportion Layers'!$AF$8:$AF$320,MATCH('OPEB Amounts_Report'!A175,'Change in Proportion Layers'!$A$8:$A$320,0))</f>
        <v>239449</v>
      </c>
      <c r="M175" s="147">
        <f t="shared" si="11"/>
        <v>3700236</v>
      </c>
      <c r="N175" s="221"/>
      <c r="O175" s="221">
        <f>ROUND(VLOOKUP(A175,'Contribution Allocation_Report'!$A$9:$D$314,4,FALSE)*'OPEB Amounts_Report'!$O$321,0)</f>
        <v>-913048</v>
      </c>
      <c r="P175" s="221">
        <f>INDEX('Change in Proportion Layers'!$AC$8:$AC$320,MATCH('OPEB Amounts_Report'!A175,'Change in Proportion Layers'!$A$8:$A$320,0))</f>
        <v>311446</v>
      </c>
      <c r="Q175" s="221">
        <f t="shared" si="12"/>
        <v>-601602</v>
      </c>
    </row>
    <row r="176" spans="1:17" ht="12" customHeight="1">
      <c r="A176" s="53">
        <v>16356</v>
      </c>
      <c r="B176" s="54" t="s">
        <v>161</v>
      </c>
      <c r="C176" s="148">
        <f>ROUND(VLOOKUP(A176,'Contribution Allocation_Report'!$A$9:$D$314,4,FALSE)*'OPEB Amounts_Report'!$C$321,0)</f>
        <v>356244</v>
      </c>
      <c r="D176" s="148">
        <f>ROUND(VLOOKUP(A176,'Contribution Allocation_Report'!$A$9:$D$314,4,FALSE)*'OPEB Amounts_Report'!$D$321,0)</f>
        <v>2167</v>
      </c>
      <c r="E176" s="148">
        <f>ROUND(VLOOKUP(A176,'Contribution Allocation_Report'!$A$9:$D$314,4,FALSE)*'OPEB Amounts_Report'!$E$321,0)</f>
        <v>51263</v>
      </c>
      <c r="F176" s="148">
        <f>INDEX('Change in Proportion Layers'!$AE$8:$AE$320,MATCH('OPEB Amounts_Report'!A176,'Change in Proportion Layers'!$A$8:$A$320,0))</f>
        <v>85723</v>
      </c>
      <c r="G176" s="148">
        <f t="shared" si="10"/>
        <v>139153</v>
      </c>
      <c r="H176" s="148"/>
      <c r="I176" s="148">
        <f>ROUND(VLOOKUP(A176,'Contribution Allocation_Report'!$A$9:$D$314,4,FALSE)*'OPEB Amounts_Report'!$I$321,0)</f>
        <v>61212</v>
      </c>
      <c r="J176" s="148">
        <f>ROUND(VLOOKUP(A176,'Contribution Allocation_Report'!$A$9:$D$314,4,FALSE)*'OPEB Amounts_Report'!$J$321,0)</f>
        <v>5390</v>
      </c>
      <c r="K176" s="148">
        <f>ROUND(VLOOKUP(A176,'Contribution Allocation_Report'!$A$9:$D$314,4,FALSE)*$K$321,0)</f>
        <v>164299</v>
      </c>
      <c r="L176" s="148">
        <f>INDEX('Change in Proportion Layers'!$AF$8:$AF$320,MATCH('OPEB Amounts_Report'!A176,'Change in Proportion Layers'!$A$8:$A$320,0))</f>
        <v>7086</v>
      </c>
      <c r="M176" s="148">
        <f t="shared" si="11"/>
        <v>237987</v>
      </c>
      <c r="N176" s="220"/>
      <c r="O176" s="220">
        <f>ROUND(VLOOKUP(A176,'Contribution Allocation_Report'!$A$9:$D$314,4,FALSE)*'OPEB Amounts_Report'!$O$321,0)</f>
        <v>-60918</v>
      </c>
      <c r="P176" s="220">
        <f>INDEX('Change in Proportion Layers'!$AC$8:$AC$320,MATCH('OPEB Amounts_Report'!A176,'Change in Proportion Layers'!$A$8:$A$320,0))</f>
        <v>35454</v>
      </c>
      <c r="Q176" s="220">
        <f t="shared" si="12"/>
        <v>-25464</v>
      </c>
    </row>
    <row r="177" spans="1:17" ht="12" customHeight="1">
      <c r="A177" s="51">
        <v>31091</v>
      </c>
      <c r="B177" s="55" t="s">
        <v>162</v>
      </c>
      <c r="C177" s="147">
        <f>ROUND(VLOOKUP(A177,'Contribution Allocation_Report'!$A$9:$D$314,4,FALSE)*'OPEB Amounts_Report'!$C$321,0)</f>
        <v>319719</v>
      </c>
      <c r="D177" s="147">
        <f>ROUND(VLOOKUP(A177,'Contribution Allocation_Report'!$A$9:$D$314,4,FALSE)*'OPEB Amounts_Report'!$D$321,0)</f>
        <v>1944</v>
      </c>
      <c r="E177" s="147">
        <f>ROUND(VLOOKUP(A177,'Contribution Allocation_Report'!$A$9:$D$314,4,FALSE)*'OPEB Amounts_Report'!$E$321,0)</f>
        <v>46007</v>
      </c>
      <c r="F177" s="147">
        <f>INDEX('Change in Proportion Layers'!$AE$8:$AE$320,MATCH('OPEB Amounts_Report'!A177,'Change in Proportion Layers'!$A$8:$A$320,0))</f>
        <v>89640</v>
      </c>
      <c r="G177" s="147">
        <f t="shared" si="10"/>
        <v>137591</v>
      </c>
      <c r="H177" s="147"/>
      <c r="I177" s="147">
        <f>ROUND(VLOOKUP(A177,'Contribution Allocation_Report'!$A$9:$D$314,4,FALSE)*'OPEB Amounts_Report'!$I$321,0)</f>
        <v>54936</v>
      </c>
      <c r="J177" s="147">
        <f>ROUND(VLOOKUP(A177,'Contribution Allocation_Report'!$A$9:$D$314,4,FALSE)*'OPEB Amounts_Report'!$J$321,0)</f>
        <v>4837</v>
      </c>
      <c r="K177" s="147">
        <f>ROUND(VLOOKUP(A177,'Contribution Allocation_Report'!$A$9:$D$314,4,FALSE)*$K$321,0)</f>
        <v>147454</v>
      </c>
      <c r="L177" s="147">
        <f>INDEX('Change in Proportion Layers'!$AF$8:$AF$320,MATCH('OPEB Amounts_Report'!A177,'Change in Proportion Layers'!$A$8:$A$320,0))</f>
        <v>23038</v>
      </c>
      <c r="M177" s="147">
        <f t="shared" si="11"/>
        <v>230265</v>
      </c>
      <c r="N177" s="221"/>
      <c r="O177" s="221">
        <f>ROUND(VLOOKUP(A177,'Contribution Allocation_Report'!$A$9:$D$314,4,FALSE)*'OPEB Amounts_Report'!$O$321,0)</f>
        <v>-54672</v>
      </c>
      <c r="P177" s="221">
        <f>INDEX('Change in Proportion Layers'!$AC$8:$AC$320,MATCH('OPEB Amounts_Report'!A177,'Change in Proportion Layers'!$A$8:$A$320,0))</f>
        <v>31329</v>
      </c>
      <c r="Q177" s="221">
        <f t="shared" si="12"/>
        <v>-23343</v>
      </c>
    </row>
    <row r="178" spans="1:17" ht="12" customHeight="1">
      <c r="A178" s="53">
        <v>2342</v>
      </c>
      <c r="B178" s="54" t="s">
        <v>163</v>
      </c>
      <c r="C178" s="148">
        <f>ROUND(VLOOKUP(A178,'Contribution Allocation_Report'!$A$9:$D$314,4,FALSE)*'OPEB Amounts_Report'!$C$321,0)</f>
        <v>544450</v>
      </c>
      <c r="D178" s="148">
        <f>ROUND(VLOOKUP(A178,'Contribution Allocation_Report'!$A$9:$D$314,4,FALSE)*'OPEB Amounts_Report'!$D$321,0)</f>
        <v>3311</v>
      </c>
      <c r="E178" s="148">
        <f>ROUND(VLOOKUP(A178,'Contribution Allocation_Report'!$A$9:$D$314,4,FALSE)*'OPEB Amounts_Report'!$E$321,0)</f>
        <v>78346</v>
      </c>
      <c r="F178" s="148">
        <f>INDEX('Change in Proportion Layers'!$AE$8:$AE$320,MATCH('OPEB Amounts_Report'!A178,'Change in Proportion Layers'!$A$8:$A$320,0))</f>
        <v>202307</v>
      </c>
      <c r="G178" s="148">
        <f t="shared" si="10"/>
        <v>283964</v>
      </c>
      <c r="H178" s="148"/>
      <c r="I178" s="148">
        <f>ROUND(VLOOKUP(A178,'Contribution Allocation_Report'!$A$9:$D$314,4,FALSE)*'OPEB Amounts_Report'!$I$321,0)</f>
        <v>93550</v>
      </c>
      <c r="J178" s="148">
        <f>ROUND(VLOOKUP(A178,'Contribution Allocation_Report'!$A$9:$D$314,4,FALSE)*'OPEB Amounts_Report'!$J$321,0)</f>
        <v>8237</v>
      </c>
      <c r="K178" s="148">
        <f>ROUND(VLOOKUP(A178,'Contribution Allocation_Report'!$A$9:$D$314,4,FALSE)*$K$321,0)</f>
        <v>251100</v>
      </c>
      <c r="L178" s="148">
        <f>INDEX('Change in Proportion Layers'!$AF$8:$AF$320,MATCH('OPEB Amounts_Report'!A178,'Change in Proportion Layers'!$A$8:$A$320,0))</f>
        <v>84936</v>
      </c>
      <c r="M178" s="148">
        <f t="shared" si="11"/>
        <v>437823</v>
      </c>
      <c r="N178" s="220"/>
      <c r="O178" s="220">
        <f>ROUND(VLOOKUP(A178,'Contribution Allocation_Report'!$A$9:$D$314,4,FALSE)*'OPEB Amounts_Report'!$O$321,0)</f>
        <v>-93101</v>
      </c>
      <c r="P178" s="220">
        <f>INDEX('Change in Proportion Layers'!$AC$8:$AC$320,MATCH('OPEB Amounts_Report'!A178,'Change in Proportion Layers'!$A$8:$A$320,0))</f>
        <v>81157</v>
      </c>
      <c r="Q178" s="220">
        <f t="shared" si="12"/>
        <v>-11944</v>
      </c>
    </row>
    <row r="179" spans="1:17" ht="12" customHeight="1">
      <c r="A179" s="51">
        <v>22067</v>
      </c>
      <c r="B179" s="55" t="s">
        <v>164</v>
      </c>
      <c r="C179" s="147">
        <f>ROUND(VLOOKUP(A179,'Contribution Allocation_Report'!$A$9:$D$314,4,FALSE)*'OPEB Amounts_Report'!$C$321,0)</f>
        <v>657091</v>
      </c>
      <c r="D179" s="147">
        <f>ROUND(VLOOKUP(A179,'Contribution Allocation_Report'!$A$9:$D$314,4,FALSE)*'OPEB Amounts_Report'!$D$321,0)</f>
        <v>3996</v>
      </c>
      <c r="E179" s="147">
        <f>ROUND(VLOOKUP(A179,'Contribution Allocation_Report'!$A$9:$D$314,4,FALSE)*'OPEB Amounts_Report'!$E$321,0)</f>
        <v>94555</v>
      </c>
      <c r="F179" s="147">
        <f>INDEX('Change in Proportion Layers'!$AE$8:$AE$320,MATCH('OPEB Amounts_Report'!A179,'Change in Proportion Layers'!$A$8:$A$320,0))</f>
        <v>156235</v>
      </c>
      <c r="G179" s="147">
        <f t="shared" si="10"/>
        <v>254786</v>
      </c>
      <c r="H179" s="147"/>
      <c r="I179" s="147">
        <f>ROUND(VLOOKUP(A179,'Contribution Allocation_Report'!$A$9:$D$314,4,FALSE)*'OPEB Amounts_Report'!$I$321,0)</f>
        <v>112905</v>
      </c>
      <c r="J179" s="147">
        <f>ROUND(VLOOKUP(A179,'Contribution Allocation_Report'!$A$9:$D$314,4,FALSE)*'OPEB Amounts_Report'!$J$321,0)</f>
        <v>9941</v>
      </c>
      <c r="K179" s="147">
        <f>ROUND(VLOOKUP(A179,'Contribution Allocation_Report'!$A$9:$D$314,4,FALSE)*$K$321,0)</f>
        <v>303050</v>
      </c>
      <c r="L179" s="147">
        <f>INDEX('Change in Proportion Layers'!$AF$8:$AF$320,MATCH('OPEB Amounts_Report'!A179,'Change in Proportion Layers'!$A$8:$A$320,0))</f>
        <v>282506</v>
      </c>
      <c r="M179" s="147">
        <f t="shared" si="11"/>
        <v>708402</v>
      </c>
      <c r="N179" s="221"/>
      <c r="O179" s="221">
        <f>ROUND(VLOOKUP(A179,'Contribution Allocation_Report'!$A$9:$D$314,4,FALSE)*'OPEB Amounts_Report'!$O$321,0)</f>
        <v>-112363</v>
      </c>
      <c r="P179" s="221">
        <f>INDEX('Change in Proportion Layers'!$AC$8:$AC$320,MATCH('OPEB Amounts_Report'!A179,'Change in Proportion Layers'!$A$8:$A$320,0))</f>
        <v>51873</v>
      </c>
      <c r="Q179" s="221">
        <f t="shared" si="12"/>
        <v>-60490</v>
      </c>
    </row>
    <row r="180" spans="1:17" ht="12" customHeight="1">
      <c r="A180" s="53">
        <v>25616</v>
      </c>
      <c r="B180" s="54" t="s">
        <v>165</v>
      </c>
      <c r="C180" s="148">
        <f>ROUND(VLOOKUP(A180,'Contribution Allocation_Report'!$A$9:$D$314,4,FALSE)*'OPEB Amounts_Report'!$C$321,0)</f>
        <v>263059</v>
      </c>
      <c r="D180" s="148">
        <f>ROUND(VLOOKUP(A180,'Contribution Allocation_Report'!$A$9:$D$314,4,FALSE)*'OPEB Amounts_Report'!$D$321,0)</f>
        <v>1600</v>
      </c>
      <c r="E180" s="148">
        <f>ROUND(VLOOKUP(A180,'Contribution Allocation_Report'!$A$9:$D$314,4,FALSE)*'OPEB Amounts_Report'!$E$321,0)</f>
        <v>37854</v>
      </c>
      <c r="F180" s="148">
        <f>INDEX('Change in Proportion Layers'!$AE$8:$AE$320,MATCH('OPEB Amounts_Report'!A180,'Change in Proportion Layers'!$A$8:$A$320,0))</f>
        <v>10078</v>
      </c>
      <c r="G180" s="148">
        <f t="shared" si="10"/>
        <v>49532</v>
      </c>
      <c r="H180" s="148"/>
      <c r="I180" s="148">
        <f>ROUND(VLOOKUP(A180,'Contribution Allocation_Report'!$A$9:$D$314,4,FALSE)*'OPEB Amounts_Report'!$I$321,0)</f>
        <v>45200</v>
      </c>
      <c r="J180" s="148">
        <f>ROUND(VLOOKUP(A180,'Contribution Allocation_Report'!$A$9:$D$314,4,FALSE)*'OPEB Amounts_Report'!$J$321,0)</f>
        <v>3980</v>
      </c>
      <c r="K180" s="148">
        <f>ROUND(VLOOKUP(A180,'Contribution Allocation_Report'!$A$9:$D$314,4,FALSE)*$K$321,0)</f>
        <v>121323</v>
      </c>
      <c r="L180" s="148">
        <f>INDEX('Change in Proportion Layers'!$AF$8:$AF$320,MATCH('OPEB Amounts_Report'!A180,'Change in Proportion Layers'!$A$8:$A$320,0))</f>
        <v>176630</v>
      </c>
      <c r="M180" s="148">
        <f t="shared" si="11"/>
        <v>347133</v>
      </c>
      <c r="N180" s="220"/>
      <c r="O180" s="220">
        <f>ROUND(VLOOKUP(A180,'Contribution Allocation_Report'!$A$9:$D$314,4,FALSE)*'OPEB Amounts_Report'!$O$321,0)</f>
        <v>-44983</v>
      </c>
      <c r="P180" s="220">
        <f>INDEX('Change in Proportion Layers'!$AC$8:$AC$320,MATCH('OPEB Amounts_Report'!A180,'Change in Proportion Layers'!$A$8:$A$320,0))</f>
        <v>-55096</v>
      </c>
      <c r="Q180" s="220">
        <f t="shared" si="12"/>
        <v>-100079</v>
      </c>
    </row>
    <row r="181" spans="1:17" ht="12" customHeight="1">
      <c r="A181" s="51">
        <v>2354</v>
      </c>
      <c r="B181" s="55" t="s">
        <v>166</v>
      </c>
      <c r="C181" s="147">
        <f>ROUND(VLOOKUP(A181,'Contribution Allocation_Report'!$A$9:$D$314,4,FALSE)*'OPEB Amounts_Report'!$C$321,0)</f>
        <v>1119388</v>
      </c>
      <c r="D181" s="147">
        <f>ROUND(VLOOKUP(A181,'Contribution Allocation_Report'!$A$9:$D$314,4,FALSE)*'OPEB Amounts_Report'!$D$321,0)</f>
        <v>6808</v>
      </c>
      <c r="E181" s="147">
        <f>ROUND(VLOOKUP(A181,'Contribution Allocation_Report'!$A$9:$D$314,4,FALSE)*'OPEB Amounts_Report'!$E$321,0)</f>
        <v>161079</v>
      </c>
      <c r="F181" s="147">
        <f>INDEX('Change in Proportion Layers'!$AE$8:$AE$320,MATCH('OPEB Amounts_Report'!A181,'Change in Proportion Layers'!$A$8:$A$320,0))</f>
        <v>150203</v>
      </c>
      <c r="G181" s="147">
        <f t="shared" si="10"/>
        <v>318090</v>
      </c>
      <c r="H181" s="147"/>
      <c r="I181" s="147">
        <f>ROUND(VLOOKUP(A181,'Contribution Allocation_Report'!$A$9:$D$314,4,FALSE)*'OPEB Amounts_Report'!$I$321,0)</f>
        <v>192339</v>
      </c>
      <c r="J181" s="147">
        <f>ROUND(VLOOKUP(A181,'Contribution Allocation_Report'!$A$9:$D$314,4,FALSE)*'OPEB Amounts_Report'!$J$321,0)</f>
        <v>16935</v>
      </c>
      <c r="K181" s="147">
        <f>ROUND(VLOOKUP(A181,'Contribution Allocation_Report'!$A$9:$D$314,4,FALSE)*$K$321,0)</f>
        <v>516260</v>
      </c>
      <c r="L181" s="147">
        <f>INDEX('Change in Proportion Layers'!$AF$8:$AF$320,MATCH('OPEB Amounts_Report'!A181,'Change in Proportion Layers'!$A$8:$A$320,0))</f>
        <v>132140</v>
      </c>
      <c r="M181" s="147">
        <f t="shared" si="11"/>
        <v>857674</v>
      </c>
      <c r="N181" s="221"/>
      <c r="O181" s="221">
        <f>ROUND(VLOOKUP(A181,'Contribution Allocation_Report'!$A$9:$D$314,4,FALSE)*'OPEB Amounts_Report'!$O$321,0)</f>
        <v>-191416</v>
      </c>
      <c r="P181" s="221">
        <f>INDEX('Change in Proportion Layers'!$AC$8:$AC$320,MATCH('OPEB Amounts_Report'!A181,'Change in Proportion Layers'!$A$8:$A$320,0))</f>
        <v>31167</v>
      </c>
      <c r="Q181" s="221">
        <f t="shared" si="12"/>
        <v>-160249</v>
      </c>
    </row>
    <row r="182" spans="1:17" ht="12" customHeight="1">
      <c r="A182" s="53">
        <v>2148</v>
      </c>
      <c r="B182" s="54" t="s">
        <v>167</v>
      </c>
      <c r="C182" s="148">
        <f>ROUND(VLOOKUP(A182,'Contribution Allocation_Report'!$A$9:$D$314,4,FALSE)*'OPEB Amounts_Report'!$C$321,0)</f>
        <v>307505</v>
      </c>
      <c r="D182" s="148">
        <f>ROUND(VLOOKUP(A182,'Contribution Allocation_Report'!$A$9:$D$314,4,FALSE)*'OPEB Amounts_Report'!$D$321,0)</f>
        <v>1870</v>
      </c>
      <c r="E182" s="148">
        <f>ROUND(VLOOKUP(A182,'Contribution Allocation_Report'!$A$9:$D$314,4,FALSE)*'OPEB Amounts_Report'!$E$321,0)</f>
        <v>44250</v>
      </c>
      <c r="F182" s="148">
        <f>INDEX('Change in Proportion Layers'!$AE$8:$AE$320,MATCH('OPEB Amounts_Report'!A182,'Change in Proportion Layers'!$A$8:$A$320,0))</f>
        <v>0</v>
      </c>
      <c r="G182" s="148">
        <f t="shared" si="10"/>
        <v>46120</v>
      </c>
      <c r="H182" s="148"/>
      <c r="I182" s="148">
        <f>ROUND(VLOOKUP(A182,'Contribution Allocation_Report'!$A$9:$D$314,4,FALSE)*'OPEB Amounts_Report'!$I$321,0)</f>
        <v>52837</v>
      </c>
      <c r="J182" s="148">
        <f>ROUND(VLOOKUP(A182,'Contribution Allocation_Report'!$A$9:$D$314,4,FALSE)*'OPEB Amounts_Report'!$J$321,0)</f>
        <v>4652</v>
      </c>
      <c r="K182" s="148">
        <f>ROUND(VLOOKUP(A182,'Contribution Allocation_Report'!$A$9:$D$314,4,FALSE)*$K$321,0)</f>
        <v>141821</v>
      </c>
      <c r="L182" s="148">
        <f>INDEX('Change in Proportion Layers'!$AF$8:$AF$320,MATCH('OPEB Amounts_Report'!A182,'Change in Proportion Layers'!$A$8:$A$320,0))</f>
        <v>88257</v>
      </c>
      <c r="M182" s="148">
        <f t="shared" si="11"/>
        <v>287567</v>
      </c>
      <c r="N182" s="220"/>
      <c r="O182" s="220">
        <f>ROUND(VLOOKUP(A182,'Contribution Allocation_Report'!$A$9:$D$314,4,FALSE)*'OPEB Amounts_Report'!$O$321,0)</f>
        <v>-52583</v>
      </c>
      <c r="P182" s="220">
        <f>INDEX('Change in Proportion Layers'!$AC$8:$AC$320,MATCH('OPEB Amounts_Report'!A182,'Change in Proportion Layers'!$A$8:$A$320,0))</f>
        <v>-36578</v>
      </c>
      <c r="Q182" s="220">
        <f t="shared" si="12"/>
        <v>-89161</v>
      </c>
    </row>
    <row r="183" spans="1:17" ht="12" customHeight="1">
      <c r="A183" s="51">
        <v>1418</v>
      </c>
      <c r="B183" s="55" t="s">
        <v>168</v>
      </c>
      <c r="C183" s="147">
        <f>ROUND(VLOOKUP(A183,'Contribution Allocation_Report'!$A$9:$D$314,4,FALSE)*'OPEB Amounts_Report'!$C$321,0)</f>
        <v>1635049</v>
      </c>
      <c r="D183" s="147">
        <f>ROUND(VLOOKUP(A183,'Contribution Allocation_Report'!$A$9:$D$314,4,FALSE)*'OPEB Amounts_Report'!$D$321,0)</f>
        <v>9944</v>
      </c>
      <c r="E183" s="147">
        <f>ROUND(VLOOKUP(A183,'Contribution Allocation_Report'!$A$9:$D$314,4,FALSE)*'OPEB Amounts_Report'!$E$321,0)</f>
        <v>235282</v>
      </c>
      <c r="F183" s="147">
        <f>INDEX('Change in Proportion Layers'!$AE$8:$AE$320,MATCH('OPEB Amounts_Report'!A183,'Change in Proportion Layers'!$A$8:$A$320,0))</f>
        <v>447275</v>
      </c>
      <c r="G183" s="147">
        <f t="shared" si="10"/>
        <v>692501</v>
      </c>
      <c r="H183" s="147"/>
      <c r="I183" s="147">
        <f>ROUND(VLOOKUP(A183,'Contribution Allocation_Report'!$A$9:$D$314,4,FALSE)*'OPEB Amounts_Report'!$I$321,0)</f>
        <v>280943</v>
      </c>
      <c r="J183" s="147">
        <f>ROUND(VLOOKUP(A183,'Contribution Allocation_Report'!$A$9:$D$314,4,FALSE)*'OPEB Amounts_Report'!$J$321,0)</f>
        <v>24737</v>
      </c>
      <c r="K183" s="147">
        <f>ROUND(VLOOKUP(A183,'Contribution Allocation_Report'!$A$9:$D$314,4,FALSE)*$K$321,0)</f>
        <v>754083</v>
      </c>
      <c r="L183" s="147">
        <f>INDEX('Change in Proportion Layers'!$AF$8:$AF$320,MATCH('OPEB Amounts_Report'!A183,'Change in Proportion Layers'!$A$8:$A$320,0))</f>
        <v>26543</v>
      </c>
      <c r="M183" s="147">
        <f t="shared" si="11"/>
        <v>1086306</v>
      </c>
      <c r="N183" s="221"/>
      <c r="O183" s="221">
        <f>ROUND(VLOOKUP(A183,'Contribution Allocation_Report'!$A$9:$D$314,4,FALSE)*'OPEB Amounts_Report'!$O$321,0)</f>
        <v>-279594</v>
      </c>
      <c r="P183" s="221">
        <f>INDEX('Change in Proportion Layers'!$AC$8:$AC$320,MATCH('OPEB Amounts_Report'!A183,'Change in Proportion Layers'!$A$8:$A$320,0))</f>
        <v>394161</v>
      </c>
      <c r="Q183" s="221">
        <f t="shared" si="12"/>
        <v>114567</v>
      </c>
    </row>
    <row r="184" spans="1:17" ht="12" customHeight="1">
      <c r="A184" s="53">
        <v>12102</v>
      </c>
      <c r="B184" s="54" t="s">
        <v>169</v>
      </c>
      <c r="C184" s="148">
        <f>ROUND(VLOOKUP(A184,'Contribution Allocation_Report'!$A$9:$D$314,4,FALSE)*'OPEB Amounts_Report'!$C$321,0)</f>
        <v>8225902</v>
      </c>
      <c r="D184" s="148">
        <f>ROUND(VLOOKUP(A184,'Contribution Allocation_Report'!$A$9:$D$314,4,FALSE)*'OPEB Amounts_Report'!$D$321,0)</f>
        <v>50028</v>
      </c>
      <c r="E184" s="148">
        <f>ROUND(VLOOKUP(A184,'Contribution Allocation_Report'!$A$9:$D$314,4,FALSE)*'OPEB Amounts_Report'!$E$321,0)</f>
        <v>1183700</v>
      </c>
      <c r="F184" s="148">
        <f>INDEX('Change in Proportion Layers'!$AE$8:$AE$320,MATCH('OPEB Amounts_Report'!A184,'Change in Proportion Layers'!$A$8:$A$320,0))</f>
        <v>1418142</v>
      </c>
      <c r="G184" s="148">
        <f t="shared" si="10"/>
        <v>2651870</v>
      </c>
      <c r="H184" s="148"/>
      <c r="I184" s="148">
        <f>ROUND(VLOOKUP(A184,'Contribution Allocation_Report'!$A$9:$D$314,4,FALSE)*'OPEB Amounts_Report'!$I$321,0)</f>
        <v>1413417</v>
      </c>
      <c r="J184" s="148">
        <f>ROUND(VLOOKUP(A184,'Contribution Allocation_Report'!$A$9:$D$314,4,FALSE)*'OPEB Amounts_Report'!$J$321,0)</f>
        <v>124450</v>
      </c>
      <c r="K184" s="148">
        <f>ROUND(VLOOKUP(A184,'Contribution Allocation_Report'!$A$9:$D$314,4,FALSE)*$K$321,0)</f>
        <v>3793777</v>
      </c>
      <c r="L184" s="148">
        <f>INDEX('Change in Proportion Layers'!$AF$8:$AF$320,MATCH('OPEB Amounts_Report'!A184,'Change in Proportion Layers'!$A$8:$A$320,0))</f>
        <v>1266289</v>
      </c>
      <c r="M184" s="148">
        <f t="shared" si="11"/>
        <v>6597933</v>
      </c>
      <c r="N184" s="220"/>
      <c r="O184" s="220">
        <f>ROUND(VLOOKUP(A184,'Contribution Allocation_Report'!$A$9:$D$314,4,FALSE)*'OPEB Amounts_Report'!$O$321,0)</f>
        <v>-1406631</v>
      </c>
      <c r="P184" s="220">
        <f>INDEX('Change in Proportion Layers'!$AC$8:$AC$320,MATCH('OPEB Amounts_Report'!A184,'Change in Proportion Layers'!$A$8:$A$320,0))</f>
        <v>23609</v>
      </c>
      <c r="Q184" s="220">
        <f t="shared" si="12"/>
        <v>-1383022</v>
      </c>
    </row>
    <row r="185" spans="1:17" ht="12" customHeight="1">
      <c r="A185" s="51">
        <v>2414</v>
      </c>
      <c r="B185" s="55" t="s">
        <v>170</v>
      </c>
      <c r="C185" s="147">
        <f>ROUND(VLOOKUP(A185,'Contribution Allocation_Report'!$A$9:$D$314,4,FALSE)*'OPEB Amounts_Report'!$C$321,0)</f>
        <v>800702</v>
      </c>
      <c r="D185" s="147">
        <f>ROUND(VLOOKUP(A185,'Contribution Allocation_Report'!$A$9:$D$314,4,FALSE)*'OPEB Amounts_Report'!$D$321,0)</f>
        <v>4870</v>
      </c>
      <c r="E185" s="147">
        <f>ROUND(VLOOKUP(A185,'Contribution Allocation_Report'!$A$9:$D$314,4,FALSE)*'OPEB Amounts_Report'!$E$321,0)</f>
        <v>115220</v>
      </c>
      <c r="F185" s="147">
        <f>INDEX('Change in Proportion Layers'!$AE$8:$AE$320,MATCH('OPEB Amounts_Report'!A185,'Change in Proportion Layers'!$A$8:$A$320,0))</f>
        <v>273241</v>
      </c>
      <c r="G185" s="147">
        <f t="shared" si="10"/>
        <v>393331</v>
      </c>
      <c r="H185" s="147"/>
      <c r="I185" s="147">
        <f>ROUND(VLOOKUP(A185,'Contribution Allocation_Report'!$A$9:$D$314,4,FALSE)*'OPEB Amounts_Report'!$I$321,0)</f>
        <v>137581</v>
      </c>
      <c r="J185" s="147">
        <f>ROUND(VLOOKUP(A185,'Contribution Allocation_Report'!$A$9:$D$314,4,FALSE)*'OPEB Amounts_Report'!$J$321,0)</f>
        <v>12114</v>
      </c>
      <c r="K185" s="147">
        <f>ROUND(VLOOKUP(A185,'Contribution Allocation_Report'!$A$9:$D$314,4,FALSE)*$K$321,0)</f>
        <v>369283</v>
      </c>
      <c r="L185" s="147">
        <f>INDEX('Change in Proportion Layers'!$AF$8:$AF$320,MATCH('OPEB Amounts_Report'!A185,'Change in Proportion Layers'!$A$8:$A$320,0))</f>
        <v>55246</v>
      </c>
      <c r="M185" s="147">
        <f t="shared" si="11"/>
        <v>574224</v>
      </c>
      <c r="N185" s="221"/>
      <c r="O185" s="221">
        <f>ROUND(VLOOKUP(A185,'Contribution Allocation_Report'!$A$9:$D$314,4,FALSE)*'OPEB Amounts_Report'!$O$321,0)</f>
        <v>-136920</v>
      </c>
      <c r="P185" s="221">
        <f>INDEX('Change in Proportion Layers'!$AC$8:$AC$320,MATCH('OPEB Amounts_Report'!A185,'Change in Proportion Layers'!$A$8:$A$320,0))</f>
        <v>219323</v>
      </c>
      <c r="Q185" s="221">
        <f t="shared" si="12"/>
        <v>82403</v>
      </c>
    </row>
    <row r="186" spans="1:17" ht="12" customHeight="1">
      <c r="A186" s="53">
        <v>6124</v>
      </c>
      <c r="B186" s="54" t="s">
        <v>171</v>
      </c>
      <c r="C186" s="148">
        <f>ROUND(VLOOKUP(A186,'Contribution Allocation_Report'!$A$9:$D$314,4,FALSE)*'OPEB Amounts_Report'!$C$321,0)</f>
        <v>4744938</v>
      </c>
      <c r="D186" s="148">
        <f>ROUND(VLOOKUP(A186,'Contribution Allocation_Report'!$A$9:$D$314,4,FALSE)*'OPEB Amounts_Report'!$D$321,0)</f>
        <v>28857</v>
      </c>
      <c r="E186" s="148">
        <f>ROUND(VLOOKUP(A186,'Contribution Allocation_Report'!$A$9:$D$314,4,FALSE)*'OPEB Amounts_Report'!$E$321,0)</f>
        <v>682793</v>
      </c>
      <c r="F186" s="148">
        <f>INDEX('Change in Proportion Layers'!$AE$8:$AE$320,MATCH('OPEB Amounts_Report'!A186,'Change in Proportion Layers'!$A$8:$A$320,0))</f>
        <v>1277710</v>
      </c>
      <c r="G186" s="148">
        <f t="shared" si="10"/>
        <v>1989360</v>
      </c>
      <c r="H186" s="148"/>
      <c r="I186" s="148">
        <f>ROUND(VLOOKUP(A186,'Contribution Allocation_Report'!$A$9:$D$314,4,FALSE)*'OPEB Amounts_Report'!$I$321,0)</f>
        <v>815300</v>
      </c>
      <c r="J186" s="148">
        <f>ROUND(VLOOKUP(A186,'Contribution Allocation_Report'!$A$9:$D$314,4,FALSE)*'OPEB Amounts_Report'!$J$321,0)</f>
        <v>71787</v>
      </c>
      <c r="K186" s="148">
        <f>ROUND(VLOOKUP(A186,'Contribution Allocation_Report'!$A$9:$D$314,4,FALSE)*$K$321,0)</f>
        <v>2188360</v>
      </c>
      <c r="L186" s="148">
        <f>INDEX('Change in Proportion Layers'!$AF$8:$AF$320,MATCH('OPEB Amounts_Report'!A186,'Change in Proportion Layers'!$A$8:$A$320,0))</f>
        <v>210700</v>
      </c>
      <c r="M186" s="148">
        <f t="shared" si="11"/>
        <v>3286147</v>
      </c>
      <c r="N186" s="220"/>
      <c r="O186" s="220">
        <f>ROUND(VLOOKUP(A186,'Contribution Allocation_Report'!$A$9:$D$314,4,FALSE)*'OPEB Amounts_Report'!$O$321,0)</f>
        <v>-811385</v>
      </c>
      <c r="P186" s="220">
        <f>INDEX('Change in Proportion Layers'!$AC$8:$AC$320,MATCH('OPEB Amounts_Report'!A186,'Change in Proportion Layers'!$A$8:$A$320,0))</f>
        <v>19986</v>
      </c>
      <c r="Q186" s="220">
        <f t="shared" si="12"/>
        <v>-791399</v>
      </c>
    </row>
    <row r="187" spans="1:17" ht="12" customHeight="1">
      <c r="A187" s="51">
        <v>4097</v>
      </c>
      <c r="B187" s="55" t="s">
        <v>172</v>
      </c>
      <c r="C187" s="147">
        <f>ROUND(VLOOKUP(A187,'Contribution Allocation_Report'!$A$9:$D$314,4,FALSE)*'OPEB Amounts_Report'!$C$321,0)</f>
        <v>4429444</v>
      </c>
      <c r="D187" s="147">
        <f>ROUND(VLOOKUP(A187,'Contribution Allocation_Report'!$A$9:$D$314,4,FALSE)*'OPEB Amounts_Report'!$D$321,0)</f>
        <v>26939</v>
      </c>
      <c r="E187" s="147">
        <f>ROUND(VLOOKUP(A187,'Contribution Allocation_Report'!$A$9:$D$314,4,FALSE)*'OPEB Amounts_Report'!$E$321,0)</f>
        <v>637393</v>
      </c>
      <c r="F187" s="147">
        <f>INDEX('Change in Proportion Layers'!$AE$8:$AE$320,MATCH('OPEB Amounts_Report'!A187,'Change in Proportion Layers'!$A$8:$A$320,0))</f>
        <v>47285</v>
      </c>
      <c r="G187" s="147">
        <f t="shared" si="10"/>
        <v>711617</v>
      </c>
      <c r="H187" s="147"/>
      <c r="I187" s="147">
        <f>ROUND(VLOOKUP(A187,'Contribution Allocation_Report'!$A$9:$D$314,4,FALSE)*'OPEB Amounts_Report'!$I$321,0)</f>
        <v>761090</v>
      </c>
      <c r="J187" s="147">
        <f>ROUND(VLOOKUP(A187,'Contribution Allocation_Report'!$A$9:$D$314,4,FALSE)*'OPEB Amounts_Report'!$J$321,0)</f>
        <v>67013</v>
      </c>
      <c r="K187" s="147">
        <f>ROUND(VLOOKUP(A187,'Contribution Allocation_Report'!$A$9:$D$314,4,FALSE)*$K$321,0)</f>
        <v>2042855</v>
      </c>
      <c r="L187" s="147">
        <f>INDEX('Change in Proportion Layers'!$AF$8:$AF$320,MATCH('OPEB Amounts_Report'!A187,'Change in Proportion Layers'!$A$8:$A$320,0))</f>
        <v>283128</v>
      </c>
      <c r="M187" s="147">
        <f t="shared" si="11"/>
        <v>3154086</v>
      </c>
      <c r="N187" s="221"/>
      <c r="O187" s="221">
        <f>ROUND(VLOOKUP(A187,'Contribution Allocation_Report'!$A$9:$D$314,4,FALSE)*'OPEB Amounts_Report'!$O$321,0)</f>
        <v>-757436</v>
      </c>
      <c r="P187" s="221">
        <f>INDEX('Change in Proportion Layers'!$AC$8:$AC$320,MATCH('OPEB Amounts_Report'!A187,'Change in Proportion Layers'!$A$8:$A$320,0))</f>
        <v>-239784</v>
      </c>
      <c r="Q187" s="221">
        <f t="shared" si="12"/>
        <v>-997220</v>
      </c>
    </row>
    <row r="188" spans="1:17" ht="12" customHeight="1">
      <c r="A188" s="53">
        <v>1416</v>
      </c>
      <c r="B188" s="54" t="s">
        <v>173</v>
      </c>
      <c r="C188" s="148">
        <f>ROUND(VLOOKUP(A188,'Contribution Allocation_Report'!$A$9:$D$314,4,FALSE)*'OPEB Amounts_Report'!$C$321,0)</f>
        <v>722899</v>
      </c>
      <c r="D188" s="148">
        <f>ROUND(VLOOKUP(A188,'Contribution Allocation_Report'!$A$9:$D$314,4,FALSE)*'OPEB Amounts_Report'!$D$321,0)</f>
        <v>4396</v>
      </c>
      <c r="E188" s="148">
        <f>ROUND(VLOOKUP(A188,'Contribution Allocation_Report'!$A$9:$D$314,4,FALSE)*'OPEB Amounts_Report'!$E$321,0)</f>
        <v>104025</v>
      </c>
      <c r="F188" s="148">
        <f>INDEX('Change in Proportion Layers'!$AE$8:$AE$320,MATCH('OPEB Amounts_Report'!A188,'Change in Proportion Layers'!$A$8:$A$320,0))</f>
        <v>224858</v>
      </c>
      <c r="G188" s="148">
        <f t="shared" si="10"/>
        <v>333279</v>
      </c>
      <c r="H188" s="148"/>
      <c r="I188" s="148">
        <f>ROUND(VLOOKUP(A188,'Contribution Allocation_Report'!$A$9:$D$314,4,FALSE)*'OPEB Amounts_Report'!$I$321,0)</f>
        <v>124212</v>
      </c>
      <c r="J188" s="148">
        <f>ROUND(VLOOKUP(A188,'Contribution Allocation_Report'!$A$9:$D$314,4,FALSE)*'OPEB Amounts_Report'!$J$321,0)</f>
        <v>10937</v>
      </c>
      <c r="K188" s="148">
        <f>ROUND(VLOOKUP(A188,'Contribution Allocation_Report'!$A$9:$D$314,4,FALSE)*$K$321,0)</f>
        <v>333400</v>
      </c>
      <c r="L188" s="148">
        <f>INDEX('Change in Proportion Layers'!$AF$8:$AF$320,MATCH('OPEB Amounts_Report'!A188,'Change in Proportion Layers'!$A$8:$A$320,0))</f>
        <v>0</v>
      </c>
      <c r="M188" s="148">
        <f t="shared" si="11"/>
        <v>468549</v>
      </c>
      <c r="N188" s="220"/>
      <c r="O188" s="220">
        <f>ROUND(VLOOKUP(A188,'Contribution Allocation_Report'!$A$9:$D$314,4,FALSE)*'OPEB Amounts_Report'!$O$321,0)</f>
        <v>-123616</v>
      </c>
      <c r="P188" s="220">
        <f>INDEX('Change in Proportion Layers'!$AC$8:$AC$320,MATCH('OPEB Amounts_Report'!A188,'Change in Proportion Layers'!$A$8:$A$320,0))</f>
        <v>89944</v>
      </c>
      <c r="Q188" s="220">
        <f t="shared" si="12"/>
        <v>-33672</v>
      </c>
    </row>
    <row r="189" spans="1:17" ht="12" customHeight="1">
      <c r="A189" s="51">
        <v>1094</v>
      </c>
      <c r="B189" s="55" t="s">
        <v>174</v>
      </c>
      <c r="C189" s="147">
        <f>ROUND(VLOOKUP(A189,'Contribution Allocation_Report'!$A$9:$D$314,4,FALSE)*'OPEB Amounts_Report'!$C$321,0)</f>
        <v>2961468</v>
      </c>
      <c r="D189" s="147">
        <f>ROUND(VLOOKUP(A189,'Contribution Allocation_Report'!$A$9:$D$314,4,FALSE)*'OPEB Amounts_Report'!$D$321,0)</f>
        <v>18011</v>
      </c>
      <c r="E189" s="147">
        <f>ROUND(VLOOKUP(A189,'Contribution Allocation_Report'!$A$9:$D$314,4,FALSE)*'OPEB Amounts_Report'!$E$321,0)</f>
        <v>426153</v>
      </c>
      <c r="F189" s="147">
        <f>INDEX('Change in Proportion Layers'!$AE$8:$AE$320,MATCH('OPEB Amounts_Report'!A189,'Change in Proportion Layers'!$A$8:$A$320,0))</f>
        <v>0</v>
      </c>
      <c r="G189" s="147">
        <f t="shared" si="10"/>
        <v>444164</v>
      </c>
      <c r="H189" s="147"/>
      <c r="I189" s="147">
        <f>ROUND(VLOOKUP(A189,'Contribution Allocation_Report'!$A$9:$D$314,4,FALSE)*'OPEB Amounts_Report'!$I$321,0)</f>
        <v>508855</v>
      </c>
      <c r="J189" s="147">
        <f>ROUND(VLOOKUP(A189,'Contribution Allocation_Report'!$A$9:$D$314,4,FALSE)*'OPEB Amounts_Report'!$J$321,0)</f>
        <v>44804</v>
      </c>
      <c r="K189" s="147">
        <f>ROUND(VLOOKUP(A189,'Contribution Allocation_Report'!$A$9:$D$314,4,FALSE)*$K$321,0)</f>
        <v>1365826</v>
      </c>
      <c r="L189" s="147">
        <f>INDEX('Change in Proportion Layers'!$AF$8:$AF$320,MATCH('OPEB Amounts_Report'!A189,'Change in Proportion Layers'!$A$8:$A$320,0))</f>
        <v>604700</v>
      </c>
      <c r="M189" s="147">
        <f t="shared" si="11"/>
        <v>2524185</v>
      </c>
      <c r="N189" s="221"/>
      <c r="O189" s="221">
        <f>ROUND(VLOOKUP(A189,'Contribution Allocation_Report'!$A$9:$D$314,4,FALSE)*'OPEB Amounts_Report'!$O$321,0)</f>
        <v>-506412</v>
      </c>
      <c r="P189" s="221">
        <f>INDEX('Change in Proportion Layers'!$AC$8:$AC$320,MATCH('OPEB Amounts_Report'!A189,'Change in Proportion Layers'!$A$8:$A$320,0))</f>
        <v>-285029</v>
      </c>
      <c r="Q189" s="221">
        <f t="shared" si="12"/>
        <v>-791441</v>
      </c>
    </row>
    <row r="190" spans="1:17" ht="12" customHeight="1">
      <c r="A190" s="53">
        <v>15104</v>
      </c>
      <c r="B190" s="54" t="s">
        <v>175</v>
      </c>
      <c r="C190" s="148">
        <f>ROUND(VLOOKUP(A190,'Contribution Allocation_Report'!$A$9:$D$314,4,FALSE)*'OPEB Amounts_Report'!$C$321,0)</f>
        <v>2996697</v>
      </c>
      <c r="D190" s="148">
        <f>ROUND(VLOOKUP(A190,'Contribution Allocation_Report'!$A$9:$D$314,4,FALSE)*'OPEB Amounts_Report'!$D$321,0)</f>
        <v>18225</v>
      </c>
      <c r="E190" s="148">
        <f>ROUND(VLOOKUP(A190,'Contribution Allocation_Report'!$A$9:$D$314,4,FALSE)*'OPEB Amounts_Report'!$E$321,0)</f>
        <v>431222</v>
      </c>
      <c r="F190" s="148">
        <f>INDEX('Change in Proportion Layers'!$AE$8:$AE$320,MATCH('OPEB Amounts_Report'!A190,'Change in Proportion Layers'!$A$8:$A$320,0))</f>
        <v>64797</v>
      </c>
      <c r="G190" s="148">
        <f t="shared" si="10"/>
        <v>514244</v>
      </c>
      <c r="H190" s="148"/>
      <c r="I190" s="148">
        <f>ROUND(VLOOKUP(A190,'Contribution Allocation_Report'!$A$9:$D$314,4,FALSE)*'OPEB Amounts_Report'!$I$321,0)</f>
        <v>514908</v>
      </c>
      <c r="J190" s="148">
        <f>ROUND(VLOOKUP(A190,'Contribution Allocation_Report'!$A$9:$D$314,4,FALSE)*'OPEB Amounts_Report'!$J$321,0)</f>
        <v>45337</v>
      </c>
      <c r="K190" s="148">
        <f>ROUND(VLOOKUP(A190,'Contribution Allocation_Report'!$A$9:$D$314,4,FALSE)*$K$321,0)</f>
        <v>1382073</v>
      </c>
      <c r="L190" s="148">
        <f>INDEX('Change in Proportion Layers'!$AF$8:$AF$320,MATCH('OPEB Amounts_Report'!A190,'Change in Proportion Layers'!$A$8:$A$320,0))</f>
        <v>367546</v>
      </c>
      <c r="M190" s="148">
        <f t="shared" si="11"/>
        <v>2309864</v>
      </c>
      <c r="N190" s="220"/>
      <c r="O190" s="220">
        <f>ROUND(VLOOKUP(A190,'Contribution Allocation_Report'!$A$9:$D$314,4,FALSE)*'OPEB Amounts_Report'!$O$321,0)</f>
        <v>-512436</v>
      </c>
      <c r="P190" s="220">
        <f>INDEX('Change in Proportion Layers'!$AC$8:$AC$320,MATCH('OPEB Amounts_Report'!A190,'Change in Proportion Layers'!$A$8:$A$320,0))</f>
        <v>-126461</v>
      </c>
      <c r="Q190" s="220">
        <f t="shared" si="12"/>
        <v>-638897</v>
      </c>
    </row>
    <row r="191" spans="1:17" ht="12" customHeight="1">
      <c r="A191" s="51">
        <v>2520</v>
      </c>
      <c r="B191" s="55" t="s">
        <v>176</v>
      </c>
      <c r="C191" s="147">
        <f>ROUND(VLOOKUP(A191,'Contribution Allocation_Report'!$A$9:$D$314,4,FALSE)*'OPEB Amounts_Report'!$C$321,0)</f>
        <v>611348</v>
      </c>
      <c r="D191" s="147">
        <f>ROUND(VLOOKUP(A191,'Contribution Allocation_Report'!$A$9:$D$314,4,FALSE)*'OPEB Amounts_Report'!$D$321,0)</f>
        <v>3718</v>
      </c>
      <c r="E191" s="147">
        <f>ROUND(VLOOKUP(A191,'Contribution Allocation_Report'!$A$9:$D$314,4,FALSE)*'OPEB Amounts_Report'!$E$321,0)</f>
        <v>87973</v>
      </c>
      <c r="F191" s="147">
        <f>INDEX('Change in Proportion Layers'!$AE$8:$AE$320,MATCH('OPEB Amounts_Report'!A191,'Change in Proportion Layers'!$A$8:$A$320,0))</f>
        <v>259375</v>
      </c>
      <c r="G191" s="147">
        <f t="shared" si="10"/>
        <v>351066</v>
      </c>
      <c r="H191" s="147"/>
      <c r="I191" s="147">
        <f>ROUND(VLOOKUP(A191,'Contribution Allocation_Report'!$A$9:$D$314,4,FALSE)*'OPEB Amounts_Report'!$I$321,0)</f>
        <v>105045</v>
      </c>
      <c r="J191" s="147">
        <f>ROUND(VLOOKUP(A191,'Contribution Allocation_Report'!$A$9:$D$314,4,FALSE)*'OPEB Amounts_Report'!$J$321,0)</f>
        <v>9249</v>
      </c>
      <c r="K191" s="147">
        <f>ROUND(VLOOKUP(A191,'Contribution Allocation_Report'!$A$9:$D$314,4,FALSE)*$K$321,0)</f>
        <v>281953</v>
      </c>
      <c r="L191" s="147">
        <f>INDEX('Change in Proportion Layers'!$AF$8:$AF$320,MATCH('OPEB Amounts_Report'!A191,'Change in Proportion Layers'!$A$8:$A$320,0))</f>
        <v>5174</v>
      </c>
      <c r="M191" s="147">
        <f t="shared" si="11"/>
        <v>401421</v>
      </c>
      <c r="N191" s="221"/>
      <c r="O191" s="221">
        <f>ROUND(VLOOKUP(A191,'Contribution Allocation_Report'!$A$9:$D$314,4,FALSE)*'OPEB Amounts_Report'!$O$321,0)</f>
        <v>-104541</v>
      </c>
      <c r="P191" s="221">
        <f>INDEX('Change in Proportion Layers'!$AC$8:$AC$320,MATCH('OPEB Amounts_Report'!A191,'Change in Proportion Layers'!$A$8:$A$320,0))</f>
        <v>78647</v>
      </c>
      <c r="Q191" s="221">
        <f t="shared" si="12"/>
        <v>-25894</v>
      </c>
    </row>
    <row r="192" spans="1:17" ht="12" customHeight="1">
      <c r="A192" s="53">
        <v>3450</v>
      </c>
      <c r="B192" s="54" t="s">
        <v>177</v>
      </c>
      <c r="C192" s="148">
        <f>ROUND(VLOOKUP(A192,'Contribution Allocation_Report'!$A$9:$D$314,4,FALSE)*'OPEB Amounts_Report'!$C$321,0)</f>
        <v>1104144</v>
      </c>
      <c r="D192" s="148">
        <f>ROUND(VLOOKUP(A192,'Contribution Allocation_Report'!$A$9:$D$314,4,FALSE)*'OPEB Amounts_Report'!$D$321,0)</f>
        <v>6715</v>
      </c>
      <c r="E192" s="148">
        <f>ROUND(VLOOKUP(A192,'Contribution Allocation_Report'!$A$9:$D$314,4,FALSE)*'OPEB Amounts_Report'!$E$321,0)</f>
        <v>158885</v>
      </c>
      <c r="F192" s="148">
        <f>INDEX('Change in Proportion Layers'!$AE$8:$AE$320,MATCH('OPEB Amounts_Report'!A192,'Change in Proportion Layers'!$A$8:$A$320,0))</f>
        <v>340723</v>
      </c>
      <c r="G192" s="148">
        <f t="shared" si="10"/>
        <v>506323</v>
      </c>
      <c r="H192" s="148"/>
      <c r="I192" s="148">
        <f>ROUND(VLOOKUP(A192,'Contribution Allocation_Report'!$A$9:$D$314,4,FALSE)*'OPEB Amounts_Report'!$I$321,0)</f>
        <v>189720</v>
      </c>
      <c r="J192" s="148">
        <f>ROUND(VLOOKUP(A192,'Contribution Allocation_Report'!$A$9:$D$314,4,FALSE)*'OPEB Amounts_Report'!$J$321,0)</f>
        <v>16705</v>
      </c>
      <c r="K192" s="148">
        <f>ROUND(VLOOKUP(A192,'Contribution Allocation_Report'!$A$9:$D$314,4,FALSE)*$K$321,0)</f>
        <v>509230</v>
      </c>
      <c r="L192" s="148">
        <f>INDEX('Change in Proportion Layers'!$AF$8:$AF$320,MATCH('OPEB Amounts_Report'!A192,'Change in Proportion Layers'!$A$8:$A$320,0))</f>
        <v>18769</v>
      </c>
      <c r="M192" s="148">
        <f t="shared" si="11"/>
        <v>734424</v>
      </c>
      <c r="N192" s="220"/>
      <c r="O192" s="220">
        <f>ROUND(VLOOKUP(A192,'Contribution Allocation_Report'!$A$9:$D$314,4,FALSE)*'OPEB Amounts_Report'!$O$321,0)</f>
        <v>-188809</v>
      </c>
      <c r="P192" s="220">
        <f>INDEX('Change in Proportion Layers'!$AC$8:$AC$320,MATCH('OPEB Amounts_Report'!A192,'Change in Proportion Layers'!$A$8:$A$320,0))</f>
        <v>57526</v>
      </c>
      <c r="Q192" s="220">
        <f t="shared" si="12"/>
        <v>-131283</v>
      </c>
    </row>
    <row r="193" spans="1:17" ht="12" customHeight="1">
      <c r="A193" s="51">
        <v>4310</v>
      </c>
      <c r="B193" s="55" t="s">
        <v>178</v>
      </c>
      <c r="C193" s="147">
        <f>ROUND(VLOOKUP(A193,'Contribution Allocation_Report'!$A$9:$D$314,4,FALSE)*'OPEB Amounts_Report'!$C$321,0)</f>
        <v>514697</v>
      </c>
      <c r="D193" s="147">
        <f>ROUND(VLOOKUP(A193,'Contribution Allocation_Report'!$A$9:$D$314,4,FALSE)*'OPEB Amounts_Report'!$D$321,0)</f>
        <v>3130</v>
      </c>
      <c r="E193" s="147">
        <f>ROUND(VLOOKUP(A193,'Contribution Allocation_Report'!$A$9:$D$314,4,FALSE)*'OPEB Amounts_Report'!$E$321,0)</f>
        <v>74064</v>
      </c>
      <c r="F193" s="147">
        <f>INDEX('Change in Proportion Layers'!$AE$8:$AE$320,MATCH('OPEB Amounts_Report'!A193,'Change in Proportion Layers'!$A$8:$A$320,0))</f>
        <v>179995</v>
      </c>
      <c r="G193" s="147">
        <f t="shared" si="10"/>
        <v>257189</v>
      </c>
      <c r="H193" s="147"/>
      <c r="I193" s="147">
        <f>ROUND(VLOOKUP(A193,'Contribution Allocation_Report'!$A$9:$D$314,4,FALSE)*'OPEB Amounts_Report'!$I$321,0)</f>
        <v>88438</v>
      </c>
      <c r="J193" s="147">
        <f>ROUND(VLOOKUP(A193,'Contribution Allocation_Report'!$A$9:$D$314,4,FALSE)*'OPEB Amounts_Report'!$J$321,0)</f>
        <v>7787</v>
      </c>
      <c r="K193" s="147">
        <f>ROUND(VLOOKUP(A193,'Contribution Allocation_Report'!$A$9:$D$314,4,FALSE)*$K$321,0)</f>
        <v>237378</v>
      </c>
      <c r="L193" s="147">
        <f>INDEX('Change in Proportion Layers'!$AF$8:$AF$320,MATCH('OPEB Amounts_Report'!A193,'Change in Proportion Layers'!$A$8:$A$320,0))</f>
        <v>146846</v>
      </c>
      <c r="M193" s="147">
        <f t="shared" si="11"/>
        <v>480449</v>
      </c>
      <c r="N193" s="221"/>
      <c r="O193" s="221">
        <f>ROUND(VLOOKUP(A193,'Contribution Allocation_Report'!$A$9:$D$314,4,FALSE)*'OPEB Amounts_Report'!$O$321,0)</f>
        <v>-88013</v>
      </c>
      <c r="P193" s="221">
        <f>INDEX('Change in Proportion Layers'!$AC$8:$AC$320,MATCH('OPEB Amounts_Report'!A193,'Change in Proportion Layers'!$A$8:$A$320,0))</f>
        <v>-28954</v>
      </c>
      <c r="Q193" s="221">
        <f t="shared" si="12"/>
        <v>-116967</v>
      </c>
    </row>
    <row r="194" spans="1:17" ht="12" customHeight="1">
      <c r="A194" s="53">
        <v>2328</v>
      </c>
      <c r="B194" s="54" t="s">
        <v>179</v>
      </c>
      <c r="C194" s="148">
        <f>ROUND(VLOOKUP(A194,'Contribution Allocation_Report'!$A$9:$D$314,4,FALSE)*'OPEB Amounts_Report'!$C$321,0)</f>
        <v>482143</v>
      </c>
      <c r="D194" s="148">
        <f>ROUND(VLOOKUP(A194,'Contribution Allocation_Report'!$A$9:$D$314,4,FALSE)*'OPEB Amounts_Report'!$D$321,0)</f>
        <v>2932</v>
      </c>
      <c r="E194" s="148">
        <f>ROUND(VLOOKUP(A194,'Contribution Allocation_Report'!$A$9:$D$314,4,FALSE)*'OPEB Amounts_Report'!$E$321,0)</f>
        <v>69380</v>
      </c>
      <c r="F194" s="148">
        <f>INDEX('Change in Proportion Layers'!$AE$8:$AE$320,MATCH('OPEB Amounts_Report'!A194,'Change in Proportion Layers'!$A$8:$A$320,0))</f>
        <v>51586</v>
      </c>
      <c r="G194" s="148">
        <f t="shared" si="10"/>
        <v>123898</v>
      </c>
      <c r="H194" s="148"/>
      <c r="I194" s="148">
        <f>ROUND(VLOOKUP(A194,'Contribution Allocation_Report'!$A$9:$D$314,4,FALSE)*'OPEB Amounts_Report'!$I$321,0)</f>
        <v>82844</v>
      </c>
      <c r="J194" s="148">
        <f>ROUND(VLOOKUP(A194,'Contribution Allocation_Report'!$A$9:$D$314,4,FALSE)*'OPEB Amounts_Report'!$J$321,0)</f>
        <v>7294</v>
      </c>
      <c r="K194" s="148">
        <f>ROUND(VLOOKUP(A194,'Contribution Allocation_Report'!$A$9:$D$314,4,FALSE)*$K$321,0)</f>
        <v>222364</v>
      </c>
      <c r="L194" s="148">
        <f>INDEX('Change in Proportion Layers'!$AF$8:$AF$320,MATCH('OPEB Amounts_Report'!A194,'Change in Proportion Layers'!$A$8:$A$320,0))</f>
        <v>526429</v>
      </c>
      <c r="M194" s="148">
        <f t="shared" si="11"/>
        <v>838931</v>
      </c>
      <c r="N194" s="220"/>
      <c r="O194" s="220">
        <f>ROUND(VLOOKUP(A194,'Contribution Allocation_Report'!$A$9:$D$314,4,FALSE)*'OPEB Amounts_Report'!$O$321,0)</f>
        <v>-82447</v>
      </c>
      <c r="P194" s="220">
        <f>INDEX('Change in Proportion Layers'!$AC$8:$AC$320,MATCH('OPEB Amounts_Report'!A194,'Change in Proportion Layers'!$A$8:$A$320,0))</f>
        <v>-90721</v>
      </c>
      <c r="Q194" s="220">
        <f t="shared" si="12"/>
        <v>-173168</v>
      </c>
    </row>
    <row r="195" spans="1:17" ht="12" customHeight="1">
      <c r="A195" s="51">
        <v>12151</v>
      </c>
      <c r="B195" s="55" t="s">
        <v>180</v>
      </c>
      <c r="C195" s="147">
        <f>ROUND(VLOOKUP(A195,'Contribution Allocation_Report'!$A$9:$D$314,4,FALSE)*'OPEB Amounts_Report'!$C$321,0)</f>
        <v>242168</v>
      </c>
      <c r="D195" s="147">
        <f>ROUND(VLOOKUP(A195,'Contribution Allocation_Report'!$A$9:$D$314,4,FALSE)*'OPEB Amounts_Report'!$D$321,0)</f>
        <v>1473</v>
      </c>
      <c r="E195" s="147">
        <f>ROUND(VLOOKUP(A195,'Contribution Allocation_Report'!$A$9:$D$314,4,FALSE)*'OPEB Amounts_Report'!$E$321,0)</f>
        <v>34848</v>
      </c>
      <c r="F195" s="147">
        <f>INDEX('Change in Proportion Layers'!$AE$8:$AE$320,MATCH('OPEB Amounts_Report'!A195,'Change in Proportion Layers'!$A$8:$A$320,0))</f>
        <v>92931</v>
      </c>
      <c r="G195" s="147">
        <f t="shared" si="10"/>
        <v>129252</v>
      </c>
      <c r="H195" s="147"/>
      <c r="I195" s="147">
        <f>ROUND(VLOOKUP(A195,'Contribution Allocation_Report'!$A$9:$D$314,4,FALSE)*'OPEB Amounts_Report'!$I$321,0)</f>
        <v>41611</v>
      </c>
      <c r="J195" s="147">
        <f>ROUND(VLOOKUP(A195,'Contribution Allocation_Report'!$A$9:$D$314,4,FALSE)*'OPEB Amounts_Report'!$J$321,0)</f>
        <v>3664</v>
      </c>
      <c r="K195" s="147">
        <f>ROUND(VLOOKUP(A195,'Contribution Allocation_Report'!$A$9:$D$314,4,FALSE)*$K$321,0)</f>
        <v>111688</v>
      </c>
      <c r="L195" s="147">
        <f>INDEX('Change in Proportion Layers'!$AF$8:$AF$320,MATCH('OPEB Amounts_Report'!A195,'Change in Proportion Layers'!$A$8:$A$320,0))</f>
        <v>123682</v>
      </c>
      <c r="M195" s="147">
        <f t="shared" si="11"/>
        <v>280645</v>
      </c>
      <c r="N195" s="221"/>
      <c r="O195" s="221">
        <f>ROUND(VLOOKUP(A195,'Contribution Allocation_Report'!$A$9:$D$314,4,FALSE)*'OPEB Amounts_Report'!$O$321,0)</f>
        <v>-41411</v>
      </c>
      <c r="P195" s="221">
        <f>INDEX('Change in Proportion Layers'!$AC$8:$AC$320,MATCH('OPEB Amounts_Report'!A195,'Change in Proportion Layers'!$A$8:$A$320,0))</f>
        <v>-34809</v>
      </c>
      <c r="Q195" s="221">
        <f t="shared" si="12"/>
        <v>-76220</v>
      </c>
    </row>
    <row r="196" spans="1:17" ht="12" customHeight="1">
      <c r="A196" s="53">
        <v>17105</v>
      </c>
      <c r="B196" s="54" t="s">
        <v>476</v>
      </c>
      <c r="C196" s="148">
        <f>ROUND(VLOOKUP(A196,'Contribution Allocation_Report'!$A$9:$D$314,4,FALSE)*'OPEB Amounts_Report'!$C$321,0)</f>
        <v>3305281</v>
      </c>
      <c r="D196" s="148">
        <f>ROUND(VLOOKUP(A196,'Contribution Allocation_Report'!$A$9:$D$314,4,FALSE)*'OPEB Amounts_Report'!$D$321,0)</f>
        <v>20102</v>
      </c>
      <c r="E196" s="148">
        <f>ROUND(VLOOKUP(A196,'Contribution Allocation_Report'!$A$9:$D$314,4,FALSE)*'OPEB Amounts_Report'!$E$321,0)</f>
        <v>475627</v>
      </c>
      <c r="F196" s="148">
        <f>INDEX('Change in Proportion Layers'!$AE$8:$AE$320,MATCH('OPEB Amounts_Report'!A196,'Change in Proportion Layers'!$A$8:$A$320,0))</f>
        <v>469851</v>
      </c>
      <c r="G196" s="148">
        <f t="shared" si="10"/>
        <v>965580</v>
      </c>
      <c r="H196" s="148"/>
      <c r="I196" s="148">
        <f>ROUND(VLOOKUP(A196,'Contribution Allocation_Report'!$A$9:$D$314,4,FALSE)*'OPEB Amounts_Report'!$I$321,0)</f>
        <v>567930</v>
      </c>
      <c r="J196" s="148">
        <f>ROUND(VLOOKUP(A196,'Contribution Allocation_Report'!$A$9:$D$314,4,FALSE)*'OPEB Amounts_Report'!$J$321,0)</f>
        <v>50006</v>
      </c>
      <c r="K196" s="148">
        <f>ROUND(VLOOKUP(A196,'Contribution Allocation_Report'!$A$9:$D$314,4,FALSE)*$K$321,0)</f>
        <v>1524392</v>
      </c>
      <c r="L196" s="148">
        <f>INDEX('Change in Proportion Layers'!$AF$8:$AF$320,MATCH('OPEB Amounts_Report'!A196,'Change in Proportion Layers'!$A$8:$A$320,0))</f>
        <v>111288</v>
      </c>
      <c r="M196" s="148">
        <f t="shared" si="11"/>
        <v>2253616</v>
      </c>
      <c r="N196" s="220"/>
      <c r="O196" s="220">
        <f>ROUND(VLOOKUP(A196,'Contribution Allocation_Report'!$A$9:$D$314,4,FALSE)*'OPEB Amounts_Report'!$O$321,0)</f>
        <v>-565204</v>
      </c>
      <c r="P196" s="220">
        <f>INDEX('Change in Proportion Layers'!$AC$8:$AC$320,MATCH('OPEB Amounts_Report'!A196,'Change in Proportion Layers'!$A$8:$A$320,0))</f>
        <v>235314</v>
      </c>
      <c r="Q196" s="220">
        <f t="shared" si="12"/>
        <v>-329890</v>
      </c>
    </row>
    <row r="197" spans="1:17" ht="12" customHeight="1">
      <c r="A197" s="51">
        <v>4215</v>
      </c>
      <c r="B197" s="55" t="s">
        <v>182</v>
      </c>
      <c r="C197" s="147">
        <f>ROUND(VLOOKUP(A197,'Contribution Allocation_Report'!$A$9:$D$314,4,FALSE)*'OPEB Amounts_Report'!$C$321,0)</f>
        <v>403261</v>
      </c>
      <c r="D197" s="147">
        <f>ROUND(VLOOKUP(A197,'Contribution Allocation_Report'!$A$9:$D$314,4,FALSE)*'OPEB Amounts_Report'!$D$321,0)</f>
        <v>2453</v>
      </c>
      <c r="E197" s="147">
        <f>ROUND(VLOOKUP(A197,'Contribution Allocation_Report'!$A$9:$D$314,4,FALSE)*'OPEB Amounts_Report'!$E$321,0)</f>
        <v>58029</v>
      </c>
      <c r="F197" s="147">
        <f>INDEX('Change in Proportion Layers'!$AE$8:$AE$320,MATCH('OPEB Amounts_Report'!A197,'Change in Proportion Layers'!$A$8:$A$320,0))</f>
        <v>578738</v>
      </c>
      <c r="G197" s="147">
        <f t="shared" si="10"/>
        <v>639220</v>
      </c>
      <c r="H197" s="147"/>
      <c r="I197" s="147">
        <f>ROUND(VLOOKUP(A197,'Contribution Allocation_Report'!$A$9:$D$314,4,FALSE)*'OPEB Amounts_Report'!$I$321,0)</f>
        <v>69290</v>
      </c>
      <c r="J197" s="147">
        <f>ROUND(VLOOKUP(A197,'Contribution Allocation_Report'!$A$9:$D$314,4,FALSE)*'OPEB Amounts_Report'!$J$321,0)</f>
        <v>6101</v>
      </c>
      <c r="K197" s="147">
        <f>ROUND(VLOOKUP(A197,'Contribution Allocation_Report'!$A$9:$D$314,4,FALSE)*$K$321,0)</f>
        <v>185984</v>
      </c>
      <c r="L197" s="147">
        <f>INDEX('Change in Proportion Layers'!$AF$8:$AF$320,MATCH('OPEB Amounts_Report'!A197,'Change in Proportion Layers'!$A$8:$A$320,0))</f>
        <v>189329</v>
      </c>
      <c r="M197" s="147">
        <f t="shared" ref="M197" si="13">SUM(I197:L197)</f>
        <v>450704</v>
      </c>
      <c r="N197" s="221"/>
      <c r="O197" s="221">
        <f>ROUND(VLOOKUP(A197,'Contribution Allocation_Report'!$A$9:$D$314,4,FALSE)*'OPEB Amounts_Report'!$O$321,0)</f>
        <v>-68958</v>
      </c>
      <c r="P197" s="221">
        <f>INDEX('Change in Proportion Layers'!$AC$8:$AC$320,MATCH('OPEB Amounts_Report'!A197,'Change in Proportion Layers'!$A$8:$A$320,0))</f>
        <v>100305</v>
      </c>
      <c r="Q197" s="221">
        <f t="shared" si="12"/>
        <v>31347</v>
      </c>
    </row>
    <row r="198" spans="1:17" ht="12" customHeight="1">
      <c r="A198" s="53" t="s">
        <v>785</v>
      </c>
      <c r="B198" s="54" t="s">
        <v>784</v>
      </c>
      <c r="C198" s="148">
        <f>ROUND(VLOOKUP(A198,'Contribution Allocation_Report'!$A$9:$D$314,4,FALSE)*'OPEB Amounts_Report'!$C$321,0)</f>
        <v>259375</v>
      </c>
      <c r="D198" s="148">
        <f>ROUND(VLOOKUP(A198,'Contribution Allocation_Report'!$A$9:$D$314,4,FALSE)*'OPEB Amounts_Report'!$D$321,0)</f>
        <v>1577</v>
      </c>
      <c r="E198" s="148">
        <f>ROUND(VLOOKUP(A198,'Contribution Allocation_Report'!$A$9:$D$314,4,FALSE)*'OPEB Amounts_Report'!$E$321,0)</f>
        <v>37324</v>
      </c>
      <c r="F198" s="148">
        <f>INDEX('Change in Proportion Layers'!$AE$8:$AE$320,MATCH('OPEB Amounts_Report'!A198,'Change in Proportion Layers'!$A$8:$A$320,0))</f>
        <v>66392</v>
      </c>
      <c r="G198" s="148">
        <f t="shared" si="10"/>
        <v>105293</v>
      </c>
      <c r="H198" s="148"/>
      <c r="I198" s="148">
        <f>ROUND(VLOOKUP(A198,'Contribution Allocation_Report'!$A$9:$D$314,4,FALSE)*'OPEB Amounts_Report'!$I$321,0)</f>
        <v>44567</v>
      </c>
      <c r="J198" s="148">
        <f>ROUND(VLOOKUP(A198,'Contribution Allocation_Report'!$A$9:$D$314,4,FALSE)*'OPEB Amounts_Report'!$J$321,0)</f>
        <v>3924</v>
      </c>
      <c r="K198" s="148">
        <f>ROUND(VLOOKUP(A198,'Contribution Allocation_Report'!$A$9:$D$314,4,FALSE)*$K$321,0)</f>
        <v>119623</v>
      </c>
      <c r="L198" s="148">
        <f>INDEX('Change in Proportion Layers'!$AF$8:$AF$320,MATCH('OPEB Amounts_Report'!A198,'Change in Proportion Layers'!$A$8:$A$320,0))</f>
        <v>194952</v>
      </c>
      <c r="M198" s="148">
        <f t="shared" ref="M198" si="14">SUM(I198:L198)</f>
        <v>363066</v>
      </c>
      <c r="N198" s="220"/>
      <c r="O198" s="220">
        <f>ROUND(VLOOKUP(A198,'Contribution Allocation_Report'!$A$9:$D$314,4,FALSE)*'OPEB Amounts_Report'!$O$321,0)</f>
        <v>-44353</v>
      </c>
      <c r="P198" s="220">
        <f>INDEX('Change in Proportion Layers'!$AC$8:$AC$320,MATCH('OPEB Amounts_Report'!A198,'Change in Proportion Layers'!$A$8:$A$320,0))</f>
        <v>-57930</v>
      </c>
      <c r="Q198" s="220">
        <f t="shared" ref="Q198" si="15">+O198+P198</f>
        <v>-102283</v>
      </c>
    </row>
    <row r="199" spans="1:17" ht="12" customHeight="1">
      <c r="A199" s="51">
        <v>2870</v>
      </c>
      <c r="B199" s="55" t="s">
        <v>183</v>
      </c>
      <c r="C199" s="147">
        <f>ROUND(VLOOKUP(A199,'Contribution Allocation_Report'!$A$9:$D$314,4,FALSE)*'OPEB Amounts_Report'!$C$321,0)</f>
        <v>476450</v>
      </c>
      <c r="D199" s="147">
        <f>ROUND(VLOOKUP(A199,'Contribution Allocation_Report'!$A$9:$D$314,4,FALSE)*'OPEB Amounts_Report'!$D$321,0)</f>
        <v>2898</v>
      </c>
      <c r="E199" s="147">
        <f>ROUND(VLOOKUP(A199,'Contribution Allocation_Report'!$A$9:$D$314,4,FALSE)*'OPEB Amounts_Report'!$E$321,0)</f>
        <v>68561</v>
      </c>
      <c r="F199" s="147">
        <f>INDEX('Change in Proportion Layers'!$AE$8:$AE$320,MATCH('OPEB Amounts_Report'!A199,'Change in Proportion Layers'!$A$8:$A$320,0))</f>
        <v>27976</v>
      </c>
      <c r="G199" s="147">
        <f t="shared" si="10"/>
        <v>99435</v>
      </c>
      <c r="H199" s="147"/>
      <c r="I199" s="147">
        <f>ROUND(VLOOKUP(A199,'Contribution Allocation_Report'!$A$9:$D$314,4,FALSE)*'OPEB Amounts_Report'!$I$321,0)</f>
        <v>81866</v>
      </c>
      <c r="J199" s="147">
        <f>ROUND(VLOOKUP(A199,'Contribution Allocation_Report'!$A$9:$D$314,4,FALSE)*'OPEB Amounts_Report'!$J$321,0)</f>
        <v>7208</v>
      </c>
      <c r="K199" s="147">
        <f>ROUND(VLOOKUP(A199,'Contribution Allocation_Report'!$A$9:$D$314,4,FALSE)*$K$321,0)</f>
        <v>219738</v>
      </c>
      <c r="L199" s="147">
        <f>INDEX('Change in Proportion Layers'!$AF$8:$AF$320,MATCH('OPEB Amounts_Report'!A199,'Change in Proportion Layers'!$A$8:$A$320,0))</f>
        <v>75868</v>
      </c>
      <c r="M199" s="147">
        <f t="shared" si="11"/>
        <v>384680</v>
      </c>
      <c r="N199" s="221"/>
      <c r="O199" s="221">
        <f>ROUND(VLOOKUP(A199,'Contribution Allocation_Report'!$A$9:$D$314,4,FALSE)*'OPEB Amounts_Report'!$O$321,0)</f>
        <v>-81473</v>
      </c>
      <c r="P199" s="221">
        <f>INDEX('Change in Proportion Layers'!$AC$8:$AC$320,MATCH('OPEB Amounts_Report'!A199,'Change in Proportion Layers'!$A$8:$A$320,0))</f>
        <v>-18022</v>
      </c>
      <c r="Q199" s="221">
        <f t="shared" si="12"/>
        <v>-99495</v>
      </c>
    </row>
    <row r="200" spans="1:17" ht="12" customHeight="1">
      <c r="A200" s="53">
        <v>29150</v>
      </c>
      <c r="B200" s="54" t="s">
        <v>184</v>
      </c>
      <c r="C200" s="148">
        <f>ROUND(VLOOKUP(A200,'Contribution Allocation_Report'!$A$9:$D$314,4,FALSE)*'OPEB Amounts_Report'!$C$321,0)</f>
        <v>342010</v>
      </c>
      <c r="D200" s="148">
        <f>ROUND(VLOOKUP(A200,'Contribution Allocation_Report'!$A$9:$D$314,4,FALSE)*'OPEB Amounts_Report'!$D$321,0)</f>
        <v>2080</v>
      </c>
      <c r="E200" s="148">
        <f>ROUND(VLOOKUP(A200,'Contribution Allocation_Report'!$A$9:$D$314,4,FALSE)*'OPEB Amounts_Report'!$E$321,0)</f>
        <v>49215</v>
      </c>
      <c r="F200" s="148">
        <f>INDEX('Change in Proportion Layers'!$AE$8:$AE$320,MATCH('OPEB Amounts_Report'!A200,'Change in Proportion Layers'!$A$8:$A$320,0))</f>
        <v>353275</v>
      </c>
      <c r="G200" s="148">
        <f t="shared" si="10"/>
        <v>404570</v>
      </c>
      <c r="H200" s="148"/>
      <c r="I200" s="148">
        <f>ROUND(VLOOKUP(A200,'Contribution Allocation_Report'!$A$9:$D$314,4,FALSE)*'OPEB Amounts_Report'!$I$321,0)</f>
        <v>58766</v>
      </c>
      <c r="J200" s="148">
        <f>ROUND(VLOOKUP(A200,'Contribution Allocation_Report'!$A$9:$D$314,4,FALSE)*'OPEB Amounts_Report'!$J$321,0)</f>
        <v>5174</v>
      </c>
      <c r="K200" s="148">
        <f>ROUND(VLOOKUP(A200,'Contribution Allocation_Report'!$A$9:$D$314,4,FALSE)*$K$321,0)</f>
        <v>157735</v>
      </c>
      <c r="L200" s="148">
        <f>INDEX('Change in Proportion Layers'!$AF$8:$AF$320,MATCH('OPEB Amounts_Report'!A200,'Change in Proportion Layers'!$A$8:$A$320,0))</f>
        <v>76366</v>
      </c>
      <c r="M200" s="148">
        <f t="shared" si="11"/>
        <v>298041</v>
      </c>
      <c r="N200" s="220"/>
      <c r="O200" s="220">
        <f>ROUND(VLOOKUP(A200,'Contribution Allocation_Report'!$A$9:$D$314,4,FALSE)*'OPEB Amounts_Report'!$O$321,0)</f>
        <v>-58484</v>
      </c>
      <c r="P200" s="220">
        <f>INDEX('Change in Proportion Layers'!$AC$8:$AC$320,MATCH('OPEB Amounts_Report'!A200,'Change in Proportion Layers'!$A$8:$A$320,0))</f>
        <v>32437</v>
      </c>
      <c r="Q200" s="220">
        <f t="shared" si="12"/>
        <v>-26047</v>
      </c>
    </row>
    <row r="201" spans="1:17" ht="12" customHeight="1">
      <c r="A201" s="51">
        <v>3433</v>
      </c>
      <c r="B201" s="55" t="s">
        <v>477</v>
      </c>
      <c r="C201" s="147">
        <f>ROUND(VLOOKUP(A201,'Contribution Allocation_Report'!$A$9:$D$314,4,FALSE)*'OPEB Amounts_Report'!$C$321,0)</f>
        <v>2514565</v>
      </c>
      <c r="D201" s="147">
        <f>ROUND(VLOOKUP(A201,'Contribution Allocation_Report'!$A$9:$D$314,4,FALSE)*'OPEB Amounts_Report'!$D$321,0)</f>
        <v>15293</v>
      </c>
      <c r="E201" s="147">
        <f>ROUND(VLOOKUP(A201,'Contribution Allocation_Report'!$A$9:$D$314,4,FALSE)*'OPEB Amounts_Report'!$E$321,0)</f>
        <v>361844</v>
      </c>
      <c r="F201" s="147">
        <f>INDEX('Change in Proportion Layers'!$AE$8:$AE$320,MATCH('OPEB Amounts_Report'!A201,'Change in Proportion Layers'!$A$8:$A$320,0))</f>
        <v>1703489</v>
      </c>
      <c r="G201" s="147">
        <f t="shared" si="10"/>
        <v>2080626</v>
      </c>
      <c r="H201" s="147"/>
      <c r="I201" s="147">
        <f>ROUND(VLOOKUP(A201,'Contribution Allocation_Report'!$A$9:$D$314,4,FALSE)*'OPEB Amounts_Report'!$I$321,0)</f>
        <v>432065</v>
      </c>
      <c r="J201" s="147">
        <f>ROUND(VLOOKUP(A201,'Contribution Allocation_Report'!$A$9:$D$314,4,FALSE)*'OPEB Amounts_Report'!$J$321,0)</f>
        <v>38043</v>
      </c>
      <c r="K201" s="147">
        <f>ROUND(VLOOKUP(A201,'Contribution Allocation_Report'!$A$9:$D$314,4,FALSE)*$K$321,0)</f>
        <v>1159715</v>
      </c>
      <c r="L201" s="147">
        <f>INDEX('Change in Proportion Layers'!$AF$8:$AF$320,MATCH('OPEB Amounts_Report'!A201,'Change in Proportion Layers'!$A$8:$A$320,0))</f>
        <v>0</v>
      </c>
      <c r="M201" s="147">
        <f t="shared" si="11"/>
        <v>1629823</v>
      </c>
      <c r="N201" s="221"/>
      <c r="O201" s="221">
        <f>ROUND(VLOOKUP(A201,'Contribution Allocation_Report'!$A$9:$D$314,4,FALSE)*'OPEB Amounts_Report'!$O$321,0)</f>
        <v>-429991</v>
      </c>
      <c r="P201" s="221">
        <f>INDEX('Change in Proportion Layers'!$AC$8:$AC$320,MATCH('OPEB Amounts_Report'!A201,'Change in Proportion Layers'!$A$8:$A$320,0))</f>
        <v>865229</v>
      </c>
      <c r="Q201" s="221">
        <f t="shared" si="12"/>
        <v>435238</v>
      </c>
    </row>
    <row r="202" spans="1:17" ht="12" customHeight="1">
      <c r="A202" s="53">
        <v>12039</v>
      </c>
      <c r="B202" s="54" t="s">
        <v>187</v>
      </c>
      <c r="C202" s="148">
        <f>ROUND(VLOOKUP(A202,'Contribution Allocation_Report'!$A$9:$D$314,4,FALSE)*'OPEB Amounts_Report'!$C$321,0)</f>
        <v>1066207</v>
      </c>
      <c r="D202" s="148">
        <f>ROUND(VLOOKUP(A202,'Contribution Allocation_Report'!$A$9:$D$314,4,FALSE)*'OPEB Amounts_Report'!$D$321,0)</f>
        <v>6484</v>
      </c>
      <c r="E202" s="148">
        <f>ROUND(VLOOKUP(A202,'Contribution Allocation_Report'!$A$9:$D$314,4,FALSE)*'OPEB Amounts_Report'!$E$321,0)</f>
        <v>153426</v>
      </c>
      <c r="F202" s="148">
        <f>INDEX('Change in Proportion Layers'!$AE$8:$AE$320,MATCH('OPEB Amounts_Report'!A202,'Change in Proportion Layers'!$A$8:$A$320,0))</f>
        <v>15930</v>
      </c>
      <c r="G202" s="148">
        <f t="shared" ref="G202:G265" si="16">SUM(D202:F202)</f>
        <v>175840</v>
      </c>
      <c r="H202" s="148"/>
      <c r="I202" s="148">
        <f>ROUND(VLOOKUP(A202,'Contribution Allocation_Report'!$A$9:$D$314,4,FALSE)*'OPEB Amounts_Report'!$I$321,0)</f>
        <v>183201</v>
      </c>
      <c r="J202" s="148">
        <f>ROUND(VLOOKUP(A202,'Contribution Allocation_Report'!$A$9:$D$314,4,FALSE)*'OPEB Amounts_Report'!$J$321,0)</f>
        <v>16131</v>
      </c>
      <c r="K202" s="148">
        <f>ROUND(VLOOKUP(A202,'Contribution Allocation_Report'!$A$9:$D$314,4,FALSE)*$K$321,0)</f>
        <v>491733</v>
      </c>
      <c r="L202" s="148">
        <f>INDEX('Change in Proportion Layers'!$AF$8:$AF$320,MATCH('OPEB Amounts_Report'!A202,'Change in Proportion Layers'!$A$8:$A$320,0))</f>
        <v>471660</v>
      </c>
      <c r="M202" s="148">
        <f t="shared" si="11"/>
        <v>1162725</v>
      </c>
      <c r="N202" s="220"/>
      <c r="O202" s="220">
        <f>ROUND(VLOOKUP(A202,'Contribution Allocation_Report'!$A$9:$D$314,4,FALSE)*'OPEB Amounts_Report'!$O$321,0)</f>
        <v>-182322</v>
      </c>
      <c r="P202" s="220">
        <f>INDEX('Change in Proportion Layers'!$AC$8:$AC$320,MATCH('OPEB Amounts_Report'!A202,'Change in Proportion Layers'!$A$8:$A$320,0))</f>
        <v>-190404</v>
      </c>
      <c r="Q202" s="220">
        <f t="shared" si="12"/>
        <v>-372726</v>
      </c>
    </row>
    <row r="203" spans="1:17" ht="12" customHeight="1">
      <c r="A203" s="51">
        <v>12150</v>
      </c>
      <c r="B203" s="55" t="s">
        <v>188</v>
      </c>
      <c r="C203" s="147">
        <f>ROUND(VLOOKUP(A203,'Contribution Allocation_Report'!$A$9:$D$314,4,FALSE)*'OPEB Amounts_Report'!$C$321,0)</f>
        <v>213035</v>
      </c>
      <c r="D203" s="147">
        <f>ROUND(VLOOKUP(A203,'Contribution Allocation_Report'!$A$9:$D$314,4,FALSE)*'OPEB Amounts_Report'!$D$321,0)</f>
        <v>1296</v>
      </c>
      <c r="E203" s="147">
        <f>ROUND(VLOOKUP(A203,'Contribution Allocation_Report'!$A$9:$D$314,4,FALSE)*'OPEB Amounts_Report'!$E$321,0)</f>
        <v>30656</v>
      </c>
      <c r="F203" s="147">
        <f>INDEX('Change in Proportion Layers'!$AE$8:$AE$320,MATCH('OPEB Amounts_Report'!A203,'Change in Proportion Layers'!$A$8:$A$320,0))</f>
        <v>12653</v>
      </c>
      <c r="G203" s="147">
        <f t="shared" si="16"/>
        <v>44605</v>
      </c>
      <c r="H203" s="147"/>
      <c r="I203" s="147">
        <f>ROUND(VLOOKUP(A203,'Contribution Allocation_Report'!$A$9:$D$314,4,FALSE)*'OPEB Amounts_Report'!$I$321,0)</f>
        <v>36605</v>
      </c>
      <c r="J203" s="147">
        <f>ROUND(VLOOKUP(A203,'Contribution Allocation_Report'!$A$9:$D$314,4,FALSE)*'OPEB Amounts_Report'!$J$321,0)</f>
        <v>3223</v>
      </c>
      <c r="K203" s="147">
        <f>ROUND(VLOOKUP(A203,'Contribution Allocation_Report'!$A$9:$D$314,4,FALSE)*$K$321,0)</f>
        <v>98251</v>
      </c>
      <c r="L203" s="147">
        <f>INDEX('Change in Proportion Layers'!$AF$8:$AF$320,MATCH('OPEB Amounts_Report'!A203,'Change in Proportion Layers'!$A$8:$A$320,0))</f>
        <v>95861</v>
      </c>
      <c r="M203" s="147">
        <f t="shared" si="11"/>
        <v>233940</v>
      </c>
      <c r="N203" s="221"/>
      <c r="O203" s="221">
        <f>ROUND(VLOOKUP(A203,'Contribution Allocation_Report'!$A$9:$D$314,4,FALSE)*'OPEB Amounts_Report'!$O$321,0)</f>
        <v>-36429</v>
      </c>
      <c r="P203" s="221">
        <f>INDEX('Change in Proportion Layers'!$AC$8:$AC$320,MATCH('OPEB Amounts_Report'!A203,'Change in Proportion Layers'!$A$8:$A$320,0))</f>
        <v>-24125</v>
      </c>
      <c r="Q203" s="221">
        <f t="shared" si="12"/>
        <v>-60554</v>
      </c>
    </row>
    <row r="204" spans="1:17" ht="12" customHeight="1">
      <c r="A204" s="51">
        <v>20060</v>
      </c>
      <c r="B204" s="52" t="s">
        <v>189</v>
      </c>
      <c r="C204" s="115">
        <f>ROUND(VLOOKUP(A204,'Contribution Allocation_Report'!$A$9:$D$314,4,FALSE)*'OPEB Amounts_Report'!$C$321,0)</f>
        <v>873708</v>
      </c>
      <c r="D204" s="115">
        <f>ROUND(VLOOKUP(A204,'Contribution Allocation_Report'!$A$9:$D$314,4,FALSE)*'OPEB Amounts_Report'!$D$321,0)</f>
        <v>5314</v>
      </c>
      <c r="E204" s="115">
        <f>ROUND(VLOOKUP(A204,'Contribution Allocation_Report'!$A$9:$D$314,4,FALSE)*'OPEB Amounts_Report'!$E$321,0)</f>
        <v>125726</v>
      </c>
      <c r="F204" s="115">
        <f>INDEX('Change in Proportion Layers'!$AE$8:$AE$320,MATCH('OPEB Amounts_Report'!A204,'Change in Proportion Layers'!$A$8:$A$320,0))</f>
        <v>59104</v>
      </c>
      <c r="G204" s="115">
        <f t="shared" si="16"/>
        <v>190144</v>
      </c>
      <c r="H204" s="115"/>
      <c r="I204" s="115">
        <f>ROUND(VLOOKUP(A204,'Contribution Allocation_Report'!$A$9:$D$314,4,FALSE)*'OPEB Amounts_Report'!$I$321,0)</f>
        <v>150125</v>
      </c>
      <c r="J204" s="115">
        <f>ROUND(VLOOKUP(A204,'Contribution Allocation_Report'!$A$9:$D$314,4,FALSE)*'OPEB Amounts_Report'!$J$321,0)</f>
        <v>13218</v>
      </c>
      <c r="K204" s="115">
        <f>ROUND(VLOOKUP(A204,'Contribution Allocation_Report'!$A$9:$D$314,4,FALSE)*$K$321,0)</f>
        <v>402953</v>
      </c>
      <c r="L204" s="117">
        <f>INDEX('Change in Proportion Layers'!$AF$8:$AF$320,MATCH('OPEB Amounts_Report'!A204,'Change in Proportion Layers'!$A$8:$A$320,0))</f>
        <v>243928</v>
      </c>
      <c r="M204" s="115">
        <f t="shared" si="11"/>
        <v>810224</v>
      </c>
      <c r="N204" s="116"/>
      <c r="O204" s="116">
        <f>ROUND(VLOOKUP(A204,'Contribution Allocation_Report'!$A$9:$D$314,4,FALSE)*'OPEB Amounts_Report'!$O$321,0)</f>
        <v>-149404</v>
      </c>
      <c r="P204" s="116">
        <f>INDEX('Change in Proportion Layers'!$AC$8:$AC$320,MATCH('OPEB Amounts_Report'!A204,'Change in Proportion Layers'!$A$8:$A$320,0))</f>
        <v>-71049</v>
      </c>
      <c r="Q204" s="116">
        <f t="shared" si="12"/>
        <v>-220453</v>
      </c>
    </row>
    <row r="205" spans="1:17" ht="12" customHeight="1">
      <c r="A205" s="53">
        <v>1001</v>
      </c>
      <c r="B205" s="54" t="s">
        <v>190</v>
      </c>
      <c r="C205" s="148">
        <f>ROUND(VLOOKUP(A205,'Contribution Allocation_Report'!$A$9:$D$314,4,FALSE)*'OPEB Amounts_Report'!$C$321,0)</f>
        <v>3416855</v>
      </c>
      <c r="D205" s="148">
        <f>ROUND(VLOOKUP(A205,'Contribution Allocation_Report'!$A$9:$D$314,4,FALSE)*'OPEB Amounts_Report'!$D$321,0)</f>
        <v>20780</v>
      </c>
      <c r="E205" s="148">
        <f>ROUND(VLOOKUP(A205,'Contribution Allocation_Report'!$A$9:$D$314,4,FALSE)*'OPEB Amounts_Report'!$E$321,0)</f>
        <v>491682</v>
      </c>
      <c r="F205" s="148">
        <f>INDEX('Change in Proportion Layers'!$AE$8:$AE$320,MATCH('OPEB Amounts_Report'!A205,'Change in Proportion Layers'!$A$8:$A$320,0))</f>
        <v>978228</v>
      </c>
      <c r="G205" s="148">
        <f t="shared" si="16"/>
        <v>1490690</v>
      </c>
      <c r="H205" s="148"/>
      <c r="I205" s="148">
        <f>ROUND(VLOOKUP(A205,'Contribution Allocation_Report'!$A$9:$D$314,4,FALSE)*'OPEB Amounts_Report'!$I$321,0)</f>
        <v>587101</v>
      </c>
      <c r="J205" s="148">
        <f>ROUND(VLOOKUP(A205,'Contribution Allocation_Report'!$A$9:$D$314,4,FALSE)*'OPEB Amounts_Report'!$J$321,0)</f>
        <v>51694</v>
      </c>
      <c r="K205" s="148">
        <f>ROUND(VLOOKUP(A205,'Contribution Allocation_Report'!$A$9:$D$314,4,FALSE)*$K$321,0)</f>
        <v>1575850</v>
      </c>
      <c r="L205" s="148">
        <f>INDEX('Change in Proportion Layers'!$AF$8:$AF$320,MATCH('OPEB Amounts_Report'!A205,'Change in Proportion Layers'!$A$8:$A$320,0))</f>
        <v>596494</v>
      </c>
      <c r="M205" s="148">
        <f t="shared" ref="M205:M252" si="17">SUM(I205:L205)</f>
        <v>2811139</v>
      </c>
      <c r="N205" s="220"/>
      <c r="O205" s="220">
        <f>ROUND(VLOOKUP(A205,'Contribution Allocation_Report'!$A$9:$D$314,4,FALSE)*'OPEB Amounts_Report'!$O$321,0)</f>
        <v>-584283</v>
      </c>
      <c r="P205" s="220">
        <f>INDEX('Change in Proportion Layers'!$AC$8:$AC$320,MATCH('OPEB Amounts_Report'!A205,'Change in Proportion Layers'!$A$8:$A$320,0))</f>
        <v>-126253</v>
      </c>
      <c r="Q205" s="220">
        <f t="shared" ref="Q205:Q269" si="18">+O205+P205</f>
        <v>-710536</v>
      </c>
    </row>
    <row r="206" spans="1:17" ht="12" customHeight="1">
      <c r="A206" s="51">
        <v>11035</v>
      </c>
      <c r="B206" s="55" t="s">
        <v>191</v>
      </c>
      <c r="C206" s="147">
        <f>ROUND(VLOOKUP(A206,'Contribution Allocation_Report'!$A$9:$D$314,4,FALSE)*'OPEB Amounts_Report'!$C$321,0)</f>
        <v>5867506</v>
      </c>
      <c r="D206" s="147">
        <f>ROUND(VLOOKUP(A206,'Contribution Allocation_Report'!$A$9:$D$314,4,FALSE)*'OPEB Amounts_Report'!$D$321,0)</f>
        <v>35685</v>
      </c>
      <c r="E206" s="147">
        <f>ROUND(VLOOKUP(A206,'Contribution Allocation_Report'!$A$9:$D$314,4,FALSE)*'OPEB Amounts_Report'!$E$321,0)</f>
        <v>844329</v>
      </c>
      <c r="F206" s="147">
        <f>INDEX('Change in Proportion Layers'!$AE$8:$AE$320,MATCH('OPEB Amounts_Report'!A206,'Change in Proportion Layers'!$A$8:$A$320,0))</f>
        <v>648406</v>
      </c>
      <c r="G206" s="147">
        <f t="shared" si="16"/>
        <v>1528420</v>
      </c>
      <c r="H206" s="147"/>
      <c r="I206" s="147">
        <f>ROUND(VLOOKUP(A206,'Contribution Allocation_Report'!$A$9:$D$314,4,FALSE)*'OPEB Amounts_Report'!$I$321,0)</f>
        <v>1008185</v>
      </c>
      <c r="J206" s="147">
        <f>ROUND(VLOOKUP(A206,'Contribution Allocation_Report'!$A$9:$D$314,4,FALSE)*'OPEB Amounts_Report'!$J$321,0)</f>
        <v>88770</v>
      </c>
      <c r="K206" s="147">
        <f>ROUND(VLOOKUP(A206,'Contribution Allocation_Report'!$A$9:$D$314,4,FALSE)*$K$321,0)</f>
        <v>2706087</v>
      </c>
      <c r="L206" s="147">
        <f>INDEX('Change in Proportion Layers'!$AF$8:$AF$320,MATCH('OPEB Amounts_Report'!A206,'Change in Proportion Layers'!$A$8:$A$320,0))</f>
        <v>1046628</v>
      </c>
      <c r="M206" s="147">
        <f t="shared" si="17"/>
        <v>4849670</v>
      </c>
      <c r="N206" s="221"/>
      <c r="O206" s="221">
        <f>ROUND(VLOOKUP(A206,'Contribution Allocation_Report'!$A$9:$D$314,4,FALSE)*'OPEB Amounts_Report'!$O$321,0)</f>
        <v>-1003344</v>
      </c>
      <c r="P206" s="221">
        <f>INDEX('Change in Proportion Layers'!$AC$8:$AC$320,MATCH('OPEB Amounts_Report'!A206,'Change in Proportion Layers'!$A$8:$A$320,0))</f>
        <v>166157</v>
      </c>
      <c r="Q206" s="221">
        <f t="shared" si="18"/>
        <v>-837187</v>
      </c>
    </row>
    <row r="207" spans="1:17" ht="12" customHeight="1">
      <c r="A207" s="53">
        <v>2320</v>
      </c>
      <c r="B207" s="54" t="s">
        <v>192</v>
      </c>
      <c r="C207" s="148">
        <f>ROUND(VLOOKUP(A207,'Contribution Allocation_Report'!$A$9:$D$314,4,FALSE)*'OPEB Amounts_Report'!$C$321,0)</f>
        <v>689530</v>
      </c>
      <c r="D207" s="148">
        <f>ROUND(VLOOKUP(A207,'Contribution Allocation_Report'!$A$9:$D$314,4,FALSE)*'OPEB Amounts_Report'!$D$321,0)</f>
        <v>4194</v>
      </c>
      <c r="E207" s="148">
        <f>ROUND(VLOOKUP(A207,'Contribution Allocation_Report'!$A$9:$D$314,4,FALSE)*'OPEB Amounts_Report'!$E$321,0)</f>
        <v>99223</v>
      </c>
      <c r="F207" s="148">
        <f>INDEX('Change in Proportion Layers'!$AE$8:$AE$320,MATCH('OPEB Amounts_Report'!A207,'Change in Proportion Layers'!$A$8:$A$320,0))</f>
        <v>82347</v>
      </c>
      <c r="G207" s="148">
        <f t="shared" si="16"/>
        <v>185764</v>
      </c>
      <c r="H207" s="148"/>
      <c r="I207" s="148">
        <f>ROUND(VLOOKUP(A207,'Contribution Allocation_Report'!$A$9:$D$314,4,FALSE)*'OPEB Amounts_Report'!$I$321,0)</f>
        <v>118479</v>
      </c>
      <c r="J207" s="148">
        <f>ROUND(VLOOKUP(A207,'Contribution Allocation_Report'!$A$9:$D$314,4,FALSE)*'OPEB Amounts_Report'!$J$321,0)</f>
        <v>10432</v>
      </c>
      <c r="K207" s="148">
        <f>ROUND(VLOOKUP(A207,'Contribution Allocation_Report'!$A$9:$D$314,4,FALSE)*$K$321,0)</f>
        <v>318011</v>
      </c>
      <c r="L207" s="148">
        <f>INDEX('Change in Proportion Layers'!$AF$8:$AF$320,MATCH('OPEB Amounts_Report'!A207,'Change in Proportion Layers'!$A$8:$A$320,0))</f>
        <v>151468</v>
      </c>
      <c r="M207" s="148">
        <f t="shared" si="17"/>
        <v>598390</v>
      </c>
      <c r="N207" s="220"/>
      <c r="O207" s="220">
        <f>ROUND(VLOOKUP(A207,'Contribution Allocation_Report'!$A$9:$D$314,4,FALSE)*'OPEB Amounts_Report'!$O$321,0)</f>
        <v>-117910</v>
      </c>
      <c r="P207" s="220">
        <f>INDEX('Change in Proportion Layers'!$AC$8:$AC$320,MATCH('OPEB Amounts_Report'!A207,'Change in Proportion Layers'!$A$8:$A$320,0))</f>
        <v>-556</v>
      </c>
      <c r="Q207" s="220">
        <f t="shared" si="18"/>
        <v>-118466</v>
      </c>
    </row>
    <row r="208" spans="1:17" ht="12" customHeight="1">
      <c r="A208" s="51">
        <v>28084</v>
      </c>
      <c r="B208" s="55" t="s">
        <v>193</v>
      </c>
      <c r="C208" s="147">
        <f>ROUND(VLOOKUP(A208,'Contribution Allocation_Report'!$A$9:$D$314,4,FALSE)*'OPEB Amounts_Report'!$C$321,0)</f>
        <v>614930</v>
      </c>
      <c r="D208" s="147">
        <f>ROUND(VLOOKUP(A208,'Contribution Allocation_Report'!$A$9:$D$314,4,FALSE)*'OPEB Amounts_Report'!$D$321,0)</f>
        <v>3740</v>
      </c>
      <c r="E208" s="147">
        <f>ROUND(VLOOKUP(A208,'Contribution Allocation_Report'!$A$9:$D$314,4,FALSE)*'OPEB Amounts_Report'!$E$321,0)</f>
        <v>88488</v>
      </c>
      <c r="F208" s="147">
        <f>INDEX('Change in Proportion Layers'!$AE$8:$AE$320,MATCH('OPEB Amounts_Report'!A208,'Change in Proportion Layers'!$A$8:$A$320,0))</f>
        <v>71803</v>
      </c>
      <c r="G208" s="147">
        <f t="shared" si="16"/>
        <v>164031</v>
      </c>
      <c r="H208" s="147"/>
      <c r="I208" s="147">
        <f>ROUND(VLOOKUP(A208,'Contribution Allocation_Report'!$A$9:$D$314,4,FALSE)*'OPEB Amounts_Report'!$I$321,0)</f>
        <v>105660</v>
      </c>
      <c r="J208" s="147">
        <f>ROUND(VLOOKUP(A208,'Contribution Allocation_Report'!$A$9:$D$314,4,FALSE)*'OPEB Amounts_Report'!$J$321,0)</f>
        <v>9303</v>
      </c>
      <c r="K208" s="147">
        <f>ROUND(VLOOKUP(A208,'Contribution Allocation_Report'!$A$9:$D$314,4,FALSE)*$K$321,0)</f>
        <v>283605</v>
      </c>
      <c r="L208" s="147">
        <f>INDEX('Change in Proportion Layers'!$AF$8:$AF$320,MATCH('OPEB Amounts_Report'!A208,'Change in Proportion Layers'!$A$8:$A$320,0))</f>
        <v>29729</v>
      </c>
      <c r="M208" s="147">
        <f t="shared" si="17"/>
        <v>428297</v>
      </c>
      <c r="N208" s="221"/>
      <c r="O208" s="221">
        <f>ROUND(VLOOKUP(A208,'Contribution Allocation_Report'!$A$9:$D$314,4,FALSE)*'OPEB Amounts_Report'!$O$321,0)</f>
        <v>-105153</v>
      </c>
      <c r="P208" s="221">
        <f>INDEX('Change in Proportion Layers'!$AC$8:$AC$320,MATCH('OPEB Amounts_Report'!A208,'Change in Proportion Layers'!$A$8:$A$320,0))</f>
        <v>28361</v>
      </c>
      <c r="Q208" s="221">
        <f t="shared" si="18"/>
        <v>-76792</v>
      </c>
    </row>
    <row r="209" spans="1:17" ht="12" customHeight="1">
      <c r="A209" s="53">
        <v>20125</v>
      </c>
      <c r="B209" s="54" t="s">
        <v>194</v>
      </c>
      <c r="C209" s="148">
        <f>ROUND(VLOOKUP(A209,'Contribution Allocation_Report'!$A$9:$D$314,4,FALSE)*'OPEB Amounts_Report'!$C$321,0)</f>
        <v>854630</v>
      </c>
      <c r="D209" s="148">
        <f>ROUND(VLOOKUP(A209,'Contribution Allocation_Report'!$A$9:$D$314,4,FALSE)*'OPEB Amounts_Report'!$D$321,0)</f>
        <v>5198</v>
      </c>
      <c r="E209" s="148">
        <f>ROUND(VLOOKUP(A209,'Contribution Allocation_Report'!$A$9:$D$314,4,FALSE)*'OPEB Amounts_Report'!$E$321,0)</f>
        <v>122981</v>
      </c>
      <c r="F209" s="148">
        <f>INDEX('Change in Proportion Layers'!$AE$8:$AE$320,MATCH('OPEB Amounts_Report'!A209,'Change in Proportion Layers'!$A$8:$A$320,0))</f>
        <v>334291</v>
      </c>
      <c r="G209" s="148">
        <f t="shared" si="16"/>
        <v>462470</v>
      </c>
      <c r="H209" s="148"/>
      <c r="I209" s="148">
        <f>ROUND(VLOOKUP(A209,'Contribution Allocation_Report'!$A$9:$D$314,4,FALSE)*'OPEB Amounts_Report'!$I$321,0)</f>
        <v>146847</v>
      </c>
      <c r="J209" s="148">
        <f>ROUND(VLOOKUP(A209,'Contribution Allocation_Report'!$A$9:$D$314,4,FALSE)*'OPEB Amounts_Report'!$J$321,0)</f>
        <v>12930</v>
      </c>
      <c r="K209" s="148">
        <f>ROUND(VLOOKUP(A209,'Contribution Allocation_Report'!$A$9:$D$314,4,FALSE)*$K$321,0)</f>
        <v>394154</v>
      </c>
      <c r="L209" s="148">
        <f>INDEX('Change in Proportion Layers'!$AF$8:$AF$320,MATCH('OPEB Amounts_Report'!A209,'Change in Proportion Layers'!$A$8:$A$320,0))</f>
        <v>249076</v>
      </c>
      <c r="M209" s="148">
        <f t="shared" si="17"/>
        <v>803007</v>
      </c>
      <c r="N209" s="220"/>
      <c r="O209" s="220">
        <f>ROUND(VLOOKUP(A209,'Contribution Allocation_Report'!$A$9:$D$314,4,FALSE)*'OPEB Amounts_Report'!$O$321,0)</f>
        <v>-146142</v>
      </c>
      <c r="P209" s="220">
        <f>INDEX('Change in Proportion Layers'!$AC$8:$AC$320,MATCH('OPEB Amounts_Report'!A209,'Change in Proportion Layers'!$A$8:$A$320,0))</f>
        <v>-4094</v>
      </c>
      <c r="Q209" s="220">
        <f t="shared" si="18"/>
        <v>-150236</v>
      </c>
    </row>
    <row r="210" spans="1:17" ht="12" customHeight="1">
      <c r="A210" s="51">
        <v>7445</v>
      </c>
      <c r="B210" s="55" t="s">
        <v>401</v>
      </c>
      <c r="C210" s="147">
        <f>ROUND(VLOOKUP(A210,'Contribution Allocation_Report'!$A$9:$D$314,4,FALSE)*'OPEB Amounts_Report'!$C$321,0)</f>
        <v>335766</v>
      </c>
      <c r="D210" s="147">
        <f>ROUND(VLOOKUP(A210,'Contribution Allocation_Report'!$A$9:$D$314,4,FALSE)*'OPEB Amounts_Report'!$D$321,0)</f>
        <v>2042</v>
      </c>
      <c r="E210" s="147">
        <f>ROUND(VLOOKUP(A210,'Contribution Allocation_Report'!$A$9:$D$314,4,FALSE)*'OPEB Amounts_Report'!$E$321,0)</f>
        <v>48316</v>
      </c>
      <c r="F210" s="147">
        <f>INDEX('Change in Proportion Layers'!$AE$8:$AE$320,MATCH('OPEB Amounts_Report'!A210,'Change in Proportion Layers'!$A$8:$A$320,0))</f>
        <v>291252</v>
      </c>
      <c r="G210" s="147">
        <f t="shared" si="16"/>
        <v>341610</v>
      </c>
      <c r="H210" s="147"/>
      <c r="I210" s="147">
        <f>ROUND(VLOOKUP(A210,'Contribution Allocation_Report'!$A$9:$D$314,4,FALSE)*'OPEB Amounts_Report'!$I$321,0)</f>
        <v>57693</v>
      </c>
      <c r="J210" s="147">
        <f>ROUND(VLOOKUP(A210,'Contribution Allocation_Report'!$A$9:$D$314,4,FALSE)*'OPEB Amounts_Report'!$J$321,0)</f>
        <v>5080</v>
      </c>
      <c r="K210" s="147">
        <f>ROUND(VLOOKUP(A210,'Contribution Allocation_Report'!$A$9:$D$314,4,FALSE)*$K$321,0)</f>
        <v>154855</v>
      </c>
      <c r="L210" s="147">
        <f>INDEX('Change in Proportion Layers'!$AF$8:$AF$320,MATCH('OPEB Amounts_Report'!A210,'Change in Proportion Layers'!$A$8:$A$320,0))</f>
        <v>54286</v>
      </c>
      <c r="M210" s="147">
        <f t="shared" si="17"/>
        <v>271914</v>
      </c>
      <c r="N210" s="221"/>
      <c r="O210" s="221">
        <f>ROUND(VLOOKUP(A210,'Contribution Allocation_Report'!$A$9:$D$314,4,FALSE)*'OPEB Amounts_Report'!$O$321,0)</f>
        <v>-57416</v>
      </c>
      <c r="P210" s="221">
        <f>INDEX('Change in Proportion Layers'!$AC$8:$AC$320,MATCH('OPEB Amounts_Report'!A210,'Change in Proportion Layers'!$A$8:$A$320,0))</f>
        <v>161784</v>
      </c>
      <c r="Q210" s="221">
        <f t="shared" si="18"/>
        <v>104368</v>
      </c>
    </row>
    <row r="211" spans="1:17" ht="12" customHeight="1">
      <c r="A211" s="53">
        <v>9029</v>
      </c>
      <c r="B211" s="54" t="s">
        <v>196</v>
      </c>
      <c r="C211" s="148">
        <f>ROUND(VLOOKUP(A211,'Contribution Allocation_Report'!$A$9:$D$314,4,FALSE)*'OPEB Amounts_Report'!$C$321,0)</f>
        <v>1782632</v>
      </c>
      <c r="D211" s="148">
        <f>ROUND(VLOOKUP(A211,'Contribution Allocation_Report'!$A$9:$D$314,4,FALSE)*'OPEB Amounts_Report'!$D$321,0)</f>
        <v>10841</v>
      </c>
      <c r="E211" s="148">
        <f>ROUND(VLOOKUP(A211,'Contribution Allocation_Report'!$A$9:$D$314,4,FALSE)*'OPEB Amounts_Report'!$E$321,0)</f>
        <v>256519</v>
      </c>
      <c r="F211" s="148">
        <f>INDEX('Change in Proportion Layers'!$AE$8:$AE$320,MATCH('OPEB Amounts_Report'!A211,'Change in Proportion Layers'!$A$8:$A$320,0))</f>
        <v>138553</v>
      </c>
      <c r="G211" s="148">
        <f t="shared" si="16"/>
        <v>405913</v>
      </c>
      <c r="H211" s="148"/>
      <c r="I211" s="148">
        <f>ROUND(VLOOKUP(A211,'Contribution Allocation_Report'!$A$9:$D$314,4,FALSE)*'OPEB Amounts_Report'!$I$321,0)</f>
        <v>306301</v>
      </c>
      <c r="J211" s="148">
        <f>ROUND(VLOOKUP(A211,'Contribution Allocation_Report'!$A$9:$D$314,4,FALSE)*'OPEB Amounts_Report'!$J$321,0)</f>
        <v>26970</v>
      </c>
      <c r="K211" s="148">
        <f>ROUND(VLOOKUP(A211,'Contribution Allocation_Report'!$A$9:$D$314,4,FALSE)*$K$321,0)</f>
        <v>822148</v>
      </c>
      <c r="L211" s="148">
        <f>INDEX('Change in Proportion Layers'!$AF$8:$AF$320,MATCH('OPEB Amounts_Report'!A211,'Change in Proportion Layers'!$A$8:$A$320,0))</f>
        <v>214774</v>
      </c>
      <c r="M211" s="148">
        <f t="shared" si="17"/>
        <v>1370193</v>
      </c>
      <c r="N211" s="220"/>
      <c r="O211" s="220">
        <f>ROUND(VLOOKUP(A211,'Contribution Allocation_Report'!$A$9:$D$314,4,FALSE)*'OPEB Amounts_Report'!$O$321,0)</f>
        <v>-304830</v>
      </c>
      <c r="P211" s="220">
        <f>INDEX('Change in Proportion Layers'!$AC$8:$AC$320,MATCH('OPEB Amounts_Report'!A211,'Change in Proportion Layers'!$A$8:$A$320,0))</f>
        <v>181343</v>
      </c>
      <c r="Q211" s="220">
        <f t="shared" si="18"/>
        <v>-123487</v>
      </c>
    </row>
    <row r="212" spans="1:17" ht="12" customHeight="1">
      <c r="A212" s="51">
        <v>2580</v>
      </c>
      <c r="B212" s="55" t="s">
        <v>197</v>
      </c>
      <c r="C212" s="147">
        <f>ROUND(VLOOKUP(A212,'Contribution Allocation_Report'!$A$9:$D$314,4,FALSE)*'OPEB Amounts_Report'!$C$321,0)</f>
        <v>225501</v>
      </c>
      <c r="D212" s="147">
        <f>ROUND(VLOOKUP(A212,'Contribution Allocation_Report'!$A$9:$D$314,4,FALSE)*'OPEB Amounts_Report'!$D$321,0)</f>
        <v>1371</v>
      </c>
      <c r="E212" s="147">
        <f>ROUND(VLOOKUP(A212,'Contribution Allocation_Report'!$A$9:$D$314,4,FALSE)*'OPEB Amounts_Report'!$E$321,0)</f>
        <v>32449</v>
      </c>
      <c r="F212" s="147">
        <f>INDEX('Change in Proportion Layers'!$AE$8:$AE$320,MATCH('OPEB Amounts_Report'!A212,'Change in Proportion Layers'!$A$8:$A$320,0))</f>
        <v>5942</v>
      </c>
      <c r="G212" s="147">
        <f t="shared" si="16"/>
        <v>39762</v>
      </c>
      <c r="H212" s="147"/>
      <c r="I212" s="147">
        <f>ROUND(VLOOKUP(A212,'Contribution Allocation_Report'!$A$9:$D$314,4,FALSE)*'OPEB Amounts_Report'!$I$321,0)</f>
        <v>38747</v>
      </c>
      <c r="J212" s="147">
        <f>ROUND(VLOOKUP(A212,'Contribution Allocation_Report'!$A$9:$D$314,4,FALSE)*'OPEB Amounts_Report'!$J$321,0)</f>
        <v>3412</v>
      </c>
      <c r="K212" s="147">
        <f>ROUND(VLOOKUP(A212,'Contribution Allocation_Report'!$A$9:$D$314,4,FALSE)*$K$321,0)</f>
        <v>104001</v>
      </c>
      <c r="L212" s="147">
        <f>INDEX('Change in Proportion Layers'!$AF$8:$AF$320,MATCH('OPEB Amounts_Report'!A212,'Change in Proportion Layers'!$A$8:$A$320,0))</f>
        <v>47211</v>
      </c>
      <c r="M212" s="147">
        <f t="shared" si="17"/>
        <v>193371</v>
      </c>
      <c r="N212" s="221"/>
      <c r="O212" s="221">
        <f>ROUND(VLOOKUP(A212,'Contribution Allocation_Report'!$A$9:$D$314,4,FALSE)*'OPEB Amounts_Report'!$O$321,0)</f>
        <v>-38561</v>
      </c>
      <c r="P212" s="221">
        <f>INDEX('Change in Proportion Layers'!$AC$8:$AC$320,MATCH('OPEB Amounts_Report'!A212,'Change in Proportion Layers'!$A$8:$A$320,0))</f>
        <v>-41085</v>
      </c>
      <c r="Q212" s="221">
        <f t="shared" si="18"/>
        <v>-79646</v>
      </c>
    </row>
    <row r="213" spans="1:17" ht="12" customHeight="1">
      <c r="A213" s="53">
        <v>20312</v>
      </c>
      <c r="B213" s="54" t="s">
        <v>198</v>
      </c>
      <c r="C213" s="148">
        <f>ROUND(VLOOKUP(A213,'Contribution Allocation_Report'!$A$9:$D$314,4,FALSE)*'OPEB Amounts_Report'!$C$321,0)</f>
        <v>180860</v>
      </c>
      <c r="D213" s="148">
        <f>ROUND(VLOOKUP(A213,'Contribution Allocation_Report'!$A$9:$D$314,4,FALSE)*'OPEB Amounts_Report'!$D$321,0)</f>
        <v>1100</v>
      </c>
      <c r="E213" s="148">
        <f>ROUND(VLOOKUP(A213,'Contribution Allocation_Report'!$A$9:$D$314,4,FALSE)*'OPEB Amounts_Report'!$E$321,0)</f>
        <v>26026</v>
      </c>
      <c r="F213" s="148">
        <f>INDEX('Change in Proportion Layers'!$AE$8:$AE$320,MATCH('OPEB Amounts_Report'!A213,'Change in Proportion Layers'!$A$8:$A$320,0))</f>
        <v>11232</v>
      </c>
      <c r="G213" s="148">
        <f t="shared" si="16"/>
        <v>38358</v>
      </c>
      <c r="H213" s="148"/>
      <c r="I213" s="148">
        <f>ROUND(VLOOKUP(A213,'Contribution Allocation_Report'!$A$9:$D$314,4,FALSE)*'OPEB Amounts_Report'!$I$321,0)</f>
        <v>31076</v>
      </c>
      <c r="J213" s="148">
        <f>ROUND(VLOOKUP(A213,'Contribution Allocation_Report'!$A$9:$D$314,4,FALSE)*'OPEB Amounts_Report'!$J$321,0)</f>
        <v>2736</v>
      </c>
      <c r="K213" s="148">
        <f>ROUND(VLOOKUP(A213,'Contribution Allocation_Report'!$A$9:$D$314,4,FALSE)*$K$321,0)</f>
        <v>83412</v>
      </c>
      <c r="L213" s="148">
        <f>INDEX('Change in Proportion Layers'!$AF$8:$AF$320,MATCH('OPEB Amounts_Report'!A213,'Change in Proportion Layers'!$A$8:$A$320,0))</f>
        <v>28382</v>
      </c>
      <c r="M213" s="148">
        <f t="shared" si="17"/>
        <v>145606</v>
      </c>
      <c r="N213" s="220"/>
      <c r="O213" s="220">
        <f>ROUND(VLOOKUP(A213,'Contribution Allocation_Report'!$A$9:$D$314,4,FALSE)*'OPEB Amounts_Report'!$O$321,0)</f>
        <v>-30927</v>
      </c>
      <c r="P213" s="220">
        <f>INDEX('Change in Proportion Layers'!$AC$8:$AC$320,MATCH('OPEB Amounts_Report'!A213,'Change in Proportion Layers'!$A$8:$A$320,0))</f>
        <v>5001</v>
      </c>
      <c r="Q213" s="220">
        <f t="shared" si="18"/>
        <v>-25926</v>
      </c>
    </row>
    <row r="214" spans="1:17" ht="12" customHeight="1">
      <c r="A214" s="51">
        <v>26150</v>
      </c>
      <c r="B214" s="55" t="s">
        <v>199</v>
      </c>
      <c r="C214" s="147">
        <f>ROUND(VLOOKUP(A214,'Contribution Allocation_Report'!$A$9:$D$314,4,FALSE)*'OPEB Amounts_Report'!$C$321,0)</f>
        <v>1489693</v>
      </c>
      <c r="D214" s="147">
        <f>ROUND(VLOOKUP(A214,'Contribution Allocation_Report'!$A$9:$D$314,4,FALSE)*'OPEB Amounts_Report'!$D$321,0)</f>
        <v>9060</v>
      </c>
      <c r="E214" s="147">
        <f>ROUND(VLOOKUP(A214,'Contribution Allocation_Report'!$A$9:$D$314,4,FALSE)*'OPEB Amounts_Report'!$E$321,0)</f>
        <v>214366</v>
      </c>
      <c r="F214" s="147">
        <f>INDEX('Change in Proportion Layers'!$AE$8:$AE$320,MATCH('OPEB Amounts_Report'!A214,'Change in Proportion Layers'!$A$8:$A$320,0))</f>
        <v>305890</v>
      </c>
      <c r="G214" s="147">
        <f t="shared" si="16"/>
        <v>529316</v>
      </c>
      <c r="H214" s="147"/>
      <c r="I214" s="147">
        <f>ROUND(VLOOKUP(A214,'Contribution Allocation_Report'!$A$9:$D$314,4,FALSE)*'OPEB Amounts_Report'!$I$321,0)</f>
        <v>255967</v>
      </c>
      <c r="J214" s="147">
        <f>ROUND(VLOOKUP(A214,'Contribution Allocation_Report'!$A$9:$D$314,4,FALSE)*'OPEB Amounts_Report'!$J$321,0)</f>
        <v>22538</v>
      </c>
      <c r="K214" s="147">
        <f>ROUND(VLOOKUP(A214,'Contribution Allocation_Report'!$A$9:$D$314,4,FALSE)*$K$321,0)</f>
        <v>687045</v>
      </c>
      <c r="L214" s="147">
        <f>INDEX('Change in Proportion Layers'!$AF$8:$AF$320,MATCH('OPEB Amounts_Report'!A214,'Change in Proportion Layers'!$A$8:$A$320,0))</f>
        <v>114454</v>
      </c>
      <c r="M214" s="147">
        <f t="shared" si="17"/>
        <v>1080004</v>
      </c>
      <c r="N214" s="221"/>
      <c r="O214" s="221">
        <f>ROUND(VLOOKUP(A214,'Contribution Allocation_Report'!$A$9:$D$314,4,FALSE)*'OPEB Amounts_Report'!$O$321,0)</f>
        <v>-254738</v>
      </c>
      <c r="P214" s="221">
        <f>INDEX('Change in Proportion Layers'!$AC$8:$AC$320,MATCH('OPEB Amounts_Report'!A214,'Change in Proportion Layers'!$A$8:$A$320,0))</f>
        <v>49402</v>
      </c>
      <c r="Q214" s="221">
        <f t="shared" si="18"/>
        <v>-205336</v>
      </c>
    </row>
    <row r="215" spans="1:17" ht="12" customHeight="1">
      <c r="A215" s="53">
        <v>5016</v>
      </c>
      <c r="B215" s="54" t="s">
        <v>200</v>
      </c>
      <c r="C215" s="148">
        <f>ROUND(VLOOKUP(A215,'Contribution Allocation_Report'!$A$9:$D$314,4,FALSE)*'OPEB Amounts_Report'!$C$321,0)</f>
        <v>185256</v>
      </c>
      <c r="D215" s="148">
        <f>ROUND(VLOOKUP(A215,'Contribution Allocation_Report'!$A$9:$D$314,4,FALSE)*'OPEB Amounts_Report'!$D$321,0)</f>
        <v>1127</v>
      </c>
      <c r="E215" s="148">
        <f>ROUND(VLOOKUP(A215,'Contribution Allocation_Report'!$A$9:$D$314,4,FALSE)*'OPEB Amounts_Report'!$E$321,0)</f>
        <v>26658</v>
      </c>
      <c r="F215" s="148">
        <f>INDEX('Change in Proportion Layers'!$AE$8:$AE$320,MATCH('OPEB Amounts_Report'!A215,'Change in Proportion Layers'!$A$8:$A$320,0))</f>
        <v>56308</v>
      </c>
      <c r="G215" s="148">
        <f t="shared" si="16"/>
        <v>84093</v>
      </c>
      <c r="H215" s="148"/>
      <c r="I215" s="148">
        <f>ROUND(VLOOKUP(A215,'Contribution Allocation_Report'!$A$9:$D$314,4,FALSE)*'OPEB Amounts_Report'!$I$321,0)</f>
        <v>31832</v>
      </c>
      <c r="J215" s="148">
        <f>ROUND(VLOOKUP(A215,'Contribution Allocation_Report'!$A$9:$D$314,4,FALSE)*'OPEB Amounts_Report'!$J$321,0)</f>
        <v>2803</v>
      </c>
      <c r="K215" s="148">
        <f>ROUND(VLOOKUP(A215,'Contribution Allocation_Report'!$A$9:$D$314,4,FALSE)*$K$321,0)</f>
        <v>85440</v>
      </c>
      <c r="L215" s="148">
        <f>INDEX('Change in Proportion Layers'!$AF$8:$AF$320,MATCH('OPEB Amounts_Report'!A215,'Change in Proportion Layers'!$A$8:$A$320,0))</f>
        <v>14626</v>
      </c>
      <c r="M215" s="148">
        <f t="shared" si="17"/>
        <v>134701</v>
      </c>
      <c r="N215" s="220"/>
      <c r="O215" s="220">
        <f>ROUND(VLOOKUP(A215,'Contribution Allocation_Report'!$A$9:$D$314,4,FALSE)*'OPEB Amounts_Report'!$O$321,0)</f>
        <v>-31679</v>
      </c>
      <c r="P215" s="220">
        <f>INDEX('Change in Proportion Layers'!$AC$8:$AC$320,MATCH('OPEB Amounts_Report'!A215,'Change in Proportion Layers'!$A$8:$A$320,0))</f>
        <v>-431</v>
      </c>
      <c r="Q215" s="220">
        <f t="shared" si="18"/>
        <v>-32110</v>
      </c>
    </row>
    <row r="216" spans="1:17" ht="12" customHeight="1">
      <c r="A216" s="51">
        <v>6150</v>
      </c>
      <c r="B216" s="55" t="s">
        <v>201</v>
      </c>
      <c r="C216" s="147">
        <f>ROUND(VLOOKUP(A216,'Contribution Allocation_Report'!$A$9:$D$314,4,FALSE)*'OPEB Amounts_Report'!$C$321,0)</f>
        <v>139880</v>
      </c>
      <c r="D216" s="147">
        <f>ROUND(VLOOKUP(A216,'Contribution Allocation_Report'!$A$9:$D$314,4,FALSE)*'OPEB Amounts_Report'!$D$321,0)</f>
        <v>851</v>
      </c>
      <c r="E216" s="147">
        <f>ROUND(VLOOKUP(A216,'Contribution Allocation_Report'!$A$9:$D$314,4,FALSE)*'OPEB Amounts_Report'!$E$321,0)</f>
        <v>20129</v>
      </c>
      <c r="F216" s="147">
        <f>INDEX('Change in Proportion Layers'!$AE$8:$AE$320,MATCH('OPEB Amounts_Report'!A216,'Change in Proportion Layers'!$A$8:$A$320,0))</f>
        <v>96034</v>
      </c>
      <c r="G216" s="147">
        <f t="shared" si="16"/>
        <v>117014</v>
      </c>
      <c r="H216" s="147"/>
      <c r="I216" s="147">
        <f>ROUND(VLOOKUP(A216,'Contribution Allocation_Report'!$A$9:$D$314,4,FALSE)*'OPEB Amounts_Report'!$I$321,0)</f>
        <v>24035</v>
      </c>
      <c r="J216" s="147">
        <f>ROUND(VLOOKUP(A216,'Contribution Allocation_Report'!$A$9:$D$314,4,FALSE)*'OPEB Amounts_Report'!$J$321,0)</f>
        <v>2116</v>
      </c>
      <c r="K216" s="147">
        <f>ROUND(VLOOKUP(A216,'Contribution Allocation_Report'!$A$9:$D$314,4,FALSE)*$K$321,0)</f>
        <v>64513</v>
      </c>
      <c r="L216" s="147">
        <f>INDEX('Change in Proportion Layers'!$AF$8:$AF$320,MATCH('OPEB Amounts_Report'!A216,'Change in Proportion Layers'!$A$8:$A$320,0))</f>
        <v>107136</v>
      </c>
      <c r="M216" s="147">
        <f t="shared" si="17"/>
        <v>197800</v>
      </c>
      <c r="N216" s="221"/>
      <c r="O216" s="221">
        <f>ROUND(VLOOKUP(A216,'Contribution Allocation_Report'!$A$9:$D$314,4,FALSE)*'OPEB Amounts_Report'!$O$321,0)</f>
        <v>-23920</v>
      </c>
      <c r="P216" s="221">
        <f>INDEX('Change in Proportion Layers'!$AC$8:$AC$320,MATCH('OPEB Amounts_Report'!A216,'Change in Proportion Layers'!$A$8:$A$320,0))</f>
        <v>19175</v>
      </c>
      <c r="Q216" s="221">
        <f t="shared" si="18"/>
        <v>-4745</v>
      </c>
    </row>
    <row r="217" spans="1:17" ht="12" customHeight="1">
      <c r="A217" s="53">
        <v>4480</v>
      </c>
      <c r="B217" s="54" t="s">
        <v>202</v>
      </c>
      <c r="C217" s="148">
        <f>ROUND(VLOOKUP(A217,'Contribution Allocation_Report'!$A$9:$D$314,4,FALSE)*'OPEB Amounts_Report'!$C$321,0)</f>
        <v>265229</v>
      </c>
      <c r="D217" s="148">
        <f>ROUND(VLOOKUP(A217,'Contribution Allocation_Report'!$A$9:$D$314,4,FALSE)*'OPEB Amounts_Report'!$D$321,0)</f>
        <v>1613</v>
      </c>
      <c r="E217" s="148">
        <f>ROUND(VLOOKUP(A217,'Contribution Allocation_Report'!$A$9:$D$314,4,FALSE)*'OPEB Amounts_Report'!$E$321,0)</f>
        <v>38166</v>
      </c>
      <c r="F217" s="148">
        <f>INDEX('Change in Proportion Layers'!$AE$8:$AE$320,MATCH('OPEB Amounts_Report'!A217,'Change in Proportion Layers'!$A$8:$A$320,0))</f>
        <v>42276</v>
      </c>
      <c r="G217" s="148">
        <f t="shared" si="16"/>
        <v>82055</v>
      </c>
      <c r="H217" s="148"/>
      <c r="I217" s="148">
        <f>ROUND(VLOOKUP(A217,'Contribution Allocation_Report'!$A$9:$D$314,4,FALSE)*'OPEB Amounts_Report'!$I$321,0)</f>
        <v>45573</v>
      </c>
      <c r="J217" s="148">
        <f>ROUND(VLOOKUP(A217,'Contribution Allocation_Report'!$A$9:$D$314,4,FALSE)*'OPEB Amounts_Report'!$J$321,0)</f>
        <v>4013</v>
      </c>
      <c r="K217" s="148">
        <f>ROUND(VLOOKUP(A217,'Contribution Allocation_Report'!$A$9:$D$314,4,FALSE)*$K$321,0)</f>
        <v>122323</v>
      </c>
      <c r="L217" s="148">
        <f>INDEX('Change in Proportion Layers'!$AF$8:$AF$320,MATCH('OPEB Amounts_Report'!A217,'Change in Proportion Layers'!$A$8:$A$320,0))</f>
        <v>42551</v>
      </c>
      <c r="M217" s="148">
        <f t="shared" si="17"/>
        <v>214460</v>
      </c>
      <c r="N217" s="220"/>
      <c r="O217" s="220">
        <f>ROUND(VLOOKUP(A217,'Contribution Allocation_Report'!$A$9:$D$314,4,FALSE)*'OPEB Amounts_Report'!$O$321,0)</f>
        <v>-45354</v>
      </c>
      <c r="P217" s="220">
        <f>INDEX('Change in Proportion Layers'!$AC$8:$AC$320,MATCH('OPEB Amounts_Report'!A217,'Change in Proportion Layers'!$A$8:$A$320,0))</f>
        <v>-26734</v>
      </c>
      <c r="Q217" s="220">
        <f t="shared" si="18"/>
        <v>-72088</v>
      </c>
    </row>
    <row r="218" spans="1:17" ht="12" customHeight="1">
      <c r="A218" s="51">
        <v>28085</v>
      </c>
      <c r="B218" s="55" t="s">
        <v>203</v>
      </c>
      <c r="C218" s="147">
        <f>ROUND(VLOOKUP(A218,'Contribution Allocation_Report'!$A$9:$D$314,4,FALSE)*'OPEB Amounts_Report'!$C$321,0)</f>
        <v>479205</v>
      </c>
      <c r="D218" s="147">
        <f>ROUND(VLOOKUP(A218,'Contribution Allocation_Report'!$A$9:$D$314,4,FALSE)*'OPEB Amounts_Report'!$D$321,0)</f>
        <v>2914</v>
      </c>
      <c r="E218" s="147">
        <f>ROUND(VLOOKUP(A218,'Contribution Allocation_Report'!$A$9:$D$314,4,FALSE)*'OPEB Amounts_Report'!$E$321,0)</f>
        <v>68957</v>
      </c>
      <c r="F218" s="147">
        <f>INDEX('Change in Proportion Layers'!$AE$8:$AE$320,MATCH('OPEB Amounts_Report'!A218,'Change in Proportion Layers'!$A$8:$A$320,0))</f>
        <v>29177</v>
      </c>
      <c r="G218" s="147">
        <f t="shared" si="16"/>
        <v>101048</v>
      </c>
      <c r="H218" s="147"/>
      <c r="I218" s="147">
        <f>ROUND(VLOOKUP(A218,'Contribution Allocation_Report'!$A$9:$D$314,4,FALSE)*'OPEB Amounts_Report'!$I$321,0)</f>
        <v>82339</v>
      </c>
      <c r="J218" s="147">
        <f>ROUND(VLOOKUP(A218,'Contribution Allocation_Report'!$A$9:$D$314,4,FALSE)*'OPEB Amounts_Report'!$J$321,0)</f>
        <v>7250</v>
      </c>
      <c r="K218" s="147">
        <f>ROUND(VLOOKUP(A218,'Contribution Allocation_Report'!$A$9:$D$314,4,FALSE)*$K$321,0)</f>
        <v>221009</v>
      </c>
      <c r="L218" s="147">
        <f>INDEX('Change in Proportion Layers'!$AF$8:$AF$320,MATCH('OPEB Amounts_Report'!A218,'Change in Proportion Layers'!$A$8:$A$320,0))</f>
        <v>55288</v>
      </c>
      <c r="M218" s="147">
        <f t="shared" si="17"/>
        <v>365886</v>
      </c>
      <c r="N218" s="221"/>
      <c r="O218" s="221">
        <f>ROUND(VLOOKUP(A218,'Contribution Allocation_Report'!$A$9:$D$314,4,FALSE)*'OPEB Amounts_Report'!$O$321,0)</f>
        <v>-81944</v>
      </c>
      <c r="P218" s="221">
        <f>INDEX('Change in Proportion Layers'!$AC$8:$AC$320,MATCH('OPEB Amounts_Report'!A218,'Change in Proportion Layers'!$A$8:$A$320,0))</f>
        <v>-16860</v>
      </c>
      <c r="Q218" s="221">
        <f t="shared" si="18"/>
        <v>-98804</v>
      </c>
    </row>
    <row r="219" spans="1:17" ht="12" customHeight="1">
      <c r="A219" s="53">
        <v>3240</v>
      </c>
      <c r="B219" s="54" t="s">
        <v>204</v>
      </c>
      <c r="C219" s="148">
        <f>ROUND(VLOOKUP(A219,'Contribution Allocation_Report'!$A$9:$D$314,4,FALSE)*'OPEB Amounts_Report'!$C$321,0)</f>
        <v>3019930</v>
      </c>
      <c r="D219" s="148">
        <f>ROUND(VLOOKUP(A219,'Contribution Allocation_Report'!$A$9:$D$314,4,FALSE)*'OPEB Amounts_Report'!$D$321,0)</f>
        <v>18366</v>
      </c>
      <c r="E219" s="148">
        <f>ROUND(VLOOKUP(A219,'Contribution Allocation_Report'!$A$9:$D$314,4,FALSE)*'OPEB Amounts_Report'!$E$321,0)</f>
        <v>434565</v>
      </c>
      <c r="F219" s="148">
        <f>INDEX('Change in Proportion Layers'!$AE$8:$AE$320,MATCH('OPEB Amounts_Report'!A219,'Change in Proportion Layers'!$A$8:$A$320,0))</f>
        <v>760888</v>
      </c>
      <c r="G219" s="148">
        <f t="shared" si="16"/>
        <v>1213819</v>
      </c>
      <c r="H219" s="148"/>
      <c r="I219" s="148">
        <f>ROUND(VLOOKUP(A219,'Contribution Allocation_Report'!$A$9:$D$314,4,FALSE)*'OPEB Amounts_Report'!$I$321,0)</f>
        <v>518900</v>
      </c>
      <c r="J219" s="148">
        <f>ROUND(VLOOKUP(A219,'Contribution Allocation_Report'!$A$9:$D$314,4,FALSE)*'OPEB Amounts_Report'!$J$321,0)</f>
        <v>45689</v>
      </c>
      <c r="K219" s="148">
        <f>ROUND(VLOOKUP(A219,'Contribution Allocation_Report'!$A$9:$D$314,4,FALSE)*$K$321,0)</f>
        <v>1392788</v>
      </c>
      <c r="L219" s="148">
        <f>INDEX('Change in Proportion Layers'!$AF$8:$AF$320,MATCH('OPEB Amounts_Report'!A219,'Change in Proportion Layers'!$A$8:$A$320,0))</f>
        <v>727083</v>
      </c>
      <c r="M219" s="148">
        <f t="shared" si="17"/>
        <v>2684460</v>
      </c>
      <c r="N219" s="220"/>
      <c r="O219" s="220">
        <f>ROUND(VLOOKUP(A219,'Contribution Allocation_Report'!$A$9:$D$314,4,FALSE)*'OPEB Amounts_Report'!$O$321,0)</f>
        <v>-516409</v>
      </c>
      <c r="P219" s="220">
        <f>INDEX('Change in Proportion Layers'!$AC$8:$AC$320,MATCH('OPEB Amounts_Report'!A219,'Change in Proportion Layers'!$A$8:$A$320,0))</f>
        <v>-115586</v>
      </c>
      <c r="Q219" s="220">
        <f t="shared" si="18"/>
        <v>-631995</v>
      </c>
    </row>
    <row r="220" spans="1:17" ht="12" customHeight="1">
      <c r="A220" s="51">
        <v>12326</v>
      </c>
      <c r="B220" s="55" t="s">
        <v>205</v>
      </c>
      <c r="C220" s="147">
        <f>ROUND(VLOOKUP(A220,'Contribution Allocation_Report'!$A$9:$D$314,4,FALSE)*'OPEB Amounts_Report'!$C$321,0)</f>
        <v>200305</v>
      </c>
      <c r="D220" s="147">
        <f>ROUND(VLOOKUP(A220,'Contribution Allocation_Report'!$A$9:$D$314,4,FALSE)*'OPEB Amounts_Report'!$D$321,0)</f>
        <v>1218</v>
      </c>
      <c r="E220" s="147">
        <f>ROUND(VLOOKUP(A220,'Contribution Allocation_Report'!$A$9:$D$314,4,FALSE)*'OPEB Amounts_Report'!$E$321,0)</f>
        <v>28824</v>
      </c>
      <c r="F220" s="147">
        <f>INDEX('Change in Proportion Layers'!$AE$8:$AE$320,MATCH('OPEB Amounts_Report'!A220,'Change in Proportion Layers'!$A$8:$A$320,0))</f>
        <v>100721</v>
      </c>
      <c r="G220" s="147">
        <f t="shared" si="16"/>
        <v>130763</v>
      </c>
      <c r="H220" s="147"/>
      <c r="I220" s="147">
        <f>ROUND(VLOOKUP(A220,'Contribution Allocation_Report'!$A$9:$D$314,4,FALSE)*'OPEB Amounts_Report'!$I$321,0)</f>
        <v>34417</v>
      </c>
      <c r="J220" s="147">
        <f>ROUND(VLOOKUP(A220,'Contribution Allocation_Report'!$A$9:$D$314,4,FALSE)*'OPEB Amounts_Report'!$J$321,0)</f>
        <v>3030</v>
      </c>
      <c r="K220" s="147">
        <f>ROUND(VLOOKUP(A220,'Contribution Allocation_Report'!$A$9:$D$314,4,FALSE)*$K$321,0)</f>
        <v>92380</v>
      </c>
      <c r="L220" s="147">
        <f>INDEX('Change in Proportion Layers'!$AF$8:$AF$320,MATCH('OPEB Amounts_Report'!A220,'Change in Proportion Layers'!$A$8:$A$320,0))</f>
        <v>82935</v>
      </c>
      <c r="M220" s="147">
        <f t="shared" si="17"/>
        <v>212762</v>
      </c>
      <c r="N220" s="221"/>
      <c r="O220" s="221">
        <f>ROUND(VLOOKUP(A220,'Contribution Allocation_Report'!$A$9:$D$314,4,FALSE)*'OPEB Amounts_Report'!$O$321,0)</f>
        <v>-34252</v>
      </c>
      <c r="P220" s="221">
        <f>INDEX('Change in Proportion Layers'!$AC$8:$AC$320,MATCH('OPEB Amounts_Report'!A220,'Change in Proportion Layers'!$A$8:$A$320,0))</f>
        <v>27332</v>
      </c>
      <c r="Q220" s="221">
        <f t="shared" si="18"/>
        <v>-6920</v>
      </c>
    </row>
    <row r="221" spans="1:17" ht="12" customHeight="1">
      <c r="A221" s="53">
        <v>2445</v>
      </c>
      <c r="B221" s="54" t="s">
        <v>427</v>
      </c>
      <c r="C221" s="148">
        <f>ROUND(VLOOKUP(A221,'Contribution Allocation_Report'!$A$9:$D$314,4,FALSE)*'OPEB Amounts_Report'!$C$321,0)</f>
        <v>313566</v>
      </c>
      <c r="D221" s="148">
        <f>ROUND(VLOOKUP(A221,'Contribution Allocation_Report'!$A$9:$D$314,4,FALSE)*'OPEB Amounts_Report'!$D$321,0)</f>
        <v>1907</v>
      </c>
      <c r="E221" s="148">
        <f>ROUND(VLOOKUP(A221,'Contribution Allocation_Report'!$A$9:$D$314,4,FALSE)*'OPEB Amounts_Report'!$E$321,0)</f>
        <v>45122</v>
      </c>
      <c r="F221" s="148">
        <f>INDEX('Change in Proportion Layers'!$AE$8:$AE$320,MATCH('OPEB Amounts_Report'!A221,'Change in Proportion Layers'!$A$8:$A$320,0))</f>
        <v>395552</v>
      </c>
      <c r="G221" s="148">
        <f t="shared" si="16"/>
        <v>442581</v>
      </c>
      <c r="H221" s="148"/>
      <c r="I221" s="148">
        <f>ROUND(VLOOKUP(A221,'Contribution Allocation_Report'!$A$9:$D$314,4,FALSE)*'OPEB Amounts_Report'!$I$321,0)</f>
        <v>53878</v>
      </c>
      <c r="J221" s="148">
        <f>ROUND(VLOOKUP(A221,'Contribution Allocation_Report'!$A$9:$D$314,4,FALSE)*'OPEB Amounts_Report'!$J$321,0)</f>
        <v>4744</v>
      </c>
      <c r="K221" s="148">
        <f>ROUND(VLOOKUP(A221,'Contribution Allocation_Report'!$A$9:$D$314,4,FALSE)*$K$321,0)</f>
        <v>144616</v>
      </c>
      <c r="L221" s="148">
        <f>INDEX('Change in Proportion Layers'!$AF$8:$AF$320,MATCH('OPEB Amounts_Report'!A221,'Change in Proportion Layers'!$A$8:$A$320,0))</f>
        <v>0</v>
      </c>
      <c r="M221" s="148">
        <f t="shared" si="17"/>
        <v>203238</v>
      </c>
      <c r="N221" s="220"/>
      <c r="O221" s="220">
        <f>ROUND(VLOOKUP(A221,'Contribution Allocation_Report'!$A$9:$D$314,4,FALSE)*'OPEB Amounts_Report'!$O$321,0)</f>
        <v>-53620</v>
      </c>
      <c r="P221" s="220">
        <f>INDEX('Change in Proportion Layers'!$AC$8:$AC$320,MATCH('OPEB Amounts_Report'!A221,'Change in Proportion Layers'!$A$8:$A$320,0))</f>
        <v>119122</v>
      </c>
      <c r="Q221" s="220">
        <f t="shared" si="18"/>
        <v>65502</v>
      </c>
    </row>
    <row r="222" spans="1:17" ht="12" customHeight="1">
      <c r="A222" s="51">
        <v>29123</v>
      </c>
      <c r="B222" s="55" t="s">
        <v>206</v>
      </c>
      <c r="C222" s="147">
        <f>ROUND(VLOOKUP(A222,'Contribution Allocation_Report'!$A$9:$D$314,4,FALSE)*'OPEB Amounts_Report'!$C$321,0)</f>
        <v>35036653</v>
      </c>
      <c r="D222" s="147">
        <f>ROUND(VLOOKUP(A222,'Contribution Allocation_Report'!$A$9:$D$314,4,FALSE)*'OPEB Amounts_Report'!$D$321,0)</f>
        <v>213083</v>
      </c>
      <c r="E222" s="147">
        <f>ROUND(VLOOKUP(A222,'Contribution Allocation_Report'!$A$9:$D$314,4,FALSE)*'OPEB Amounts_Report'!$E$321,0)</f>
        <v>5041745</v>
      </c>
      <c r="F222" s="147">
        <f>INDEX('Change in Proportion Layers'!$AE$8:$AE$320,MATCH('OPEB Amounts_Report'!A222,'Change in Proportion Layers'!$A$8:$A$320,0))</f>
        <v>2510158</v>
      </c>
      <c r="G222" s="147">
        <f t="shared" si="16"/>
        <v>7764986</v>
      </c>
      <c r="H222" s="147"/>
      <c r="I222" s="147">
        <f>ROUND(VLOOKUP(A222,'Contribution Allocation_Report'!$A$9:$D$314,4,FALSE)*'OPEB Amounts_Report'!$I$321,0)</f>
        <v>6020177</v>
      </c>
      <c r="J222" s="147">
        <f>ROUND(VLOOKUP(A222,'Contribution Allocation_Report'!$A$9:$D$314,4,FALSE)*'OPEB Amounts_Report'!$J$321,0)</f>
        <v>530072</v>
      </c>
      <c r="K222" s="147">
        <f>ROUND(VLOOKUP(A222,'Contribution Allocation_Report'!$A$9:$D$314,4,FALSE)*$K$321,0)</f>
        <v>16158866</v>
      </c>
      <c r="L222" s="147">
        <f>INDEX('Change in Proportion Layers'!$AF$8:$AF$320,MATCH('OPEB Amounts_Report'!A222,'Change in Proportion Layers'!$A$8:$A$320,0))</f>
        <v>2940253</v>
      </c>
      <c r="M222" s="147">
        <f t="shared" si="17"/>
        <v>25649368</v>
      </c>
      <c r="N222" s="221"/>
      <c r="O222" s="221">
        <f>ROUND(VLOOKUP(A222,'Contribution Allocation_Report'!$A$9:$D$314,4,FALSE)*'OPEB Amounts_Report'!$O$321,0)</f>
        <v>-5991273</v>
      </c>
      <c r="P222" s="221">
        <f>INDEX('Change in Proportion Layers'!$AC$8:$AC$320,MATCH('OPEB Amounts_Report'!A222,'Change in Proportion Layers'!$A$8:$A$320,0))</f>
        <v>3105064</v>
      </c>
      <c r="Q222" s="221">
        <f t="shared" si="18"/>
        <v>-2886209</v>
      </c>
    </row>
    <row r="223" spans="1:17" ht="12" customHeight="1">
      <c r="A223" s="53">
        <v>2318</v>
      </c>
      <c r="B223" s="54" t="s">
        <v>207</v>
      </c>
      <c r="C223" s="148">
        <f>ROUND(VLOOKUP(A223,'Contribution Allocation_Report'!$A$9:$D$314,4,FALSE)*'OPEB Amounts_Report'!$C$321,0)</f>
        <v>670809</v>
      </c>
      <c r="D223" s="148">
        <f>ROUND(VLOOKUP(A223,'Contribution Allocation_Report'!$A$9:$D$314,4,FALSE)*'OPEB Amounts_Report'!$D$321,0)</f>
        <v>4080</v>
      </c>
      <c r="E223" s="148">
        <f>ROUND(VLOOKUP(A223,'Contribution Allocation_Report'!$A$9:$D$314,4,FALSE)*'OPEB Amounts_Report'!$E$321,0)</f>
        <v>96529</v>
      </c>
      <c r="F223" s="148">
        <f>INDEX('Change in Proportion Layers'!$AE$8:$AE$320,MATCH('OPEB Amounts_Report'!A223,'Change in Proportion Layers'!$A$8:$A$320,0))</f>
        <v>190886</v>
      </c>
      <c r="G223" s="148">
        <f t="shared" si="16"/>
        <v>291495</v>
      </c>
      <c r="H223" s="148"/>
      <c r="I223" s="148">
        <f>ROUND(VLOOKUP(A223,'Contribution Allocation_Report'!$A$9:$D$314,4,FALSE)*'OPEB Amounts_Report'!$I$321,0)</f>
        <v>115262</v>
      </c>
      <c r="J223" s="148">
        <f>ROUND(VLOOKUP(A223,'Contribution Allocation_Report'!$A$9:$D$314,4,FALSE)*'OPEB Amounts_Report'!$J$321,0)</f>
        <v>10149</v>
      </c>
      <c r="K223" s="148">
        <f>ROUND(VLOOKUP(A223,'Contribution Allocation_Report'!$A$9:$D$314,4,FALSE)*$K$321,0)</f>
        <v>309376</v>
      </c>
      <c r="L223" s="148">
        <f>INDEX('Change in Proportion Layers'!$AF$8:$AF$320,MATCH('OPEB Amounts_Report'!A223,'Change in Proportion Layers'!$A$8:$A$320,0))</f>
        <v>387255</v>
      </c>
      <c r="M223" s="148">
        <f t="shared" si="17"/>
        <v>822042</v>
      </c>
      <c r="N223" s="220"/>
      <c r="O223" s="220">
        <f>ROUND(VLOOKUP(A223,'Contribution Allocation_Report'!$A$9:$D$314,4,FALSE)*'OPEB Amounts_Report'!$O$321,0)</f>
        <v>-114708</v>
      </c>
      <c r="P223" s="220">
        <f>INDEX('Change in Proportion Layers'!$AC$8:$AC$320,MATCH('OPEB Amounts_Report'!A223,'Change in Proportion Layers'!$A$8:$A$320,0))</f>
        <v>2980</v>
      </c>
      <c r="Q223" s="220">
        <f t="shared" si="18"/>
        <v>-111728</v>
      </c>
    </row>
    <row r="224" spans="1:17" ht="12" customHeight="1">
      <c r="A224" s="51">
        <v>3250</v>
      </c>
      <c r="B224" s="55" t="s">
        <v>208</v>
      </c>
      <c r="C224" s="147">
        <f>ROUND(VLOOKUP(A224,'Contribution Allocation_Report'!$A$9:$D$314,4,FALSE)*'OPEB Amounts_Report'!$C$321,0)</f>
        <v>1006678</v>
      </c>
      <c r="D224" s="147">
        <f>ROUND(VLOOKUP(A224,'Contribution Allocation_Report'!$A$9:$D$314,4,FALSE)*'OPEB Amounts_Report'!$D$321,0)</f>
        <v>6122</v>
      </c>
      <c r="E224" s="147">
        <f>ROUND(VLOOKUP(A224,'Contribution Allocation_Report'!$A$9:$D$314,4,FALSE)*'OPEB Amounts_Report'!$E$321,0)</f>
        <v>144860</v>
      </c>
      <c r="F224" s="147">
        <f>INDEX('Change in Proportion Layers'!$AE$8:$AE$320,MATCH('OPEB Amounts_Report'!A224,'Change in Proportion Layers'!$A$8:$A$320,0))</f>
        <v>58895</v>
      </c>
      <c r="G224" s="147">
        <f t="shared" si="16"/>
        <v>209877</v>
      </c>
      <c r="H224" s="147"/>
      <c r="I224" s="147">
        <f>ROUND(VLOOKUP(A224,'Contribution Allocation_Report'!$A$9:$D$314,4,FALSE)*'OPEB Amounts_Report'!$I$321,0)</f>
        <v>172973</v>
      </c>
      <c r="J224" s="147">
        <f>ROUND(VLOOKUP(A224,'Contribution Allocation_Report'!$A$9:$D$314,4,FALSE)*'OPEB Amounts_Report'!$J$321,0)</f>
        <v>15230</v>
      </c>
      <c r="K224" s="147">
        <f>ROUND(VLOOKUP(A224,'Contribution Allocation_Report'!$A$9:$D$314,4,FALSE)*$K$321,0)</f>
        <v>464279</v>
      </c>
      <c r="L224" s="147">
        <f>INDEX('Change in Proportion Layers'!$AF$8:$AF$320,MATCH('OPEB Amounts_Report'!A224,'Change in Proportion Layers'!$A$8:$A$320,0))</f>
        <v>166445</v>
      </c>
      <c r="M224" s="147">
        <f t="shared" si="17"/>
        <v>818927</v>
      </c>
      <c r="N224" s="221"/>
      <c r="O224" s="221">
        <f>ROUND(VLOOKUP(A224,'Contribution Allocation_Report'!$A$9:$D$314,4,FALSE)*'OPEB Amounts_Report'!$O$321,0)</f>
        <v>-172142</v>
      </c>
      <c r="P224" s="221">
        <f>INDEX('Change in Proportion Layers'!$AC$8:$AC$320,MATCH('OPEB Amounts_Report'!A224,'Change in Proportion Layers'!$A$8:$A$320,0))</f>
        <v>-66820</v>
      </c>
      <c r="Q224" s="221">
        <f t="shared" si="18"/>
        <v>-238962</v>
      </c>
    </row>
    <row r="225" spans="1:17" ht="12" customHeight="1">
      <c r="A225" s="53">
        <v>2313</v>
      </c>
      <c r="B225" s="54" t="s">
        <v>209</v>
      </c>
      <c r="C225" s="148">
        <f>ROUND(VLOOKUP(A225,'Contribution Allocation_Report'!$A$9:$D$314,4,FALSE)*'OPEB Amounts_Report'!$C$321,0)</f>
        <v>132810</v>
      </c>
      <c r="D225" s="148">
        <f>ROUND(VLOOKUP(A225,'Contribution Allocation_Report'!$A$9:$D$314,4,FALSE)*'OPEB Amounts_Report'!$D$321,0)</f>
        <v>808</v>
      </c>
      <c r="E225" s="148">
        <f>ROUND(VLOOKUP(A225,'Contribution Allocation_Report'!$A$9:$D$314,4,FALSE)*'OPEB Amounts_Report'!$E$321,0)</f>
        <v>19111</v>
      </c>
      <c r="F225" s="148">
        <f>INDEX('Change in Proportion Layers'!$AE$8:$AE$320,MATCH('OPEB Amounts_Report'!A225,'Change in Proportion Layers'!$A$8:$A$320,0))</f>
        <v>36496</v>
      </c>
      <c r="G225" s="148">
        <f t="shared" si="16"/>
        <v>56415</v>
      </c>
      <c r="H225" s="148"/>
      <c r="I225" s="148">
        <f>ROUND(VLOOKUP(A225,'Contribution Allocation_Report'!$A$9:$D$314,4,FALSE)*'OPEB Amounts_Report'!$I$321,0)</f>
        <v>22820</v>
      </c>
      <c r="J225" s="148">
        <f>ROUND(VLOOKUP(A225,'Contribution Allocation_Report'!$A$9:$D$314,4,FALSE)*'OPEB Amounts_Report'!$J$321,0)</f>
        <v>2009</v>
      </c>
      <c r="K225" s="148">
        <f>ROUND(VLOOKUP(A225,'Contribution Allocation_Report'!$A$9:$D$314,4,FALSE)*$K$321,0)</f>
        <v>61252</v>
      </c>
      <c r="L225" s="148">
        <f>INDEX('Change in Proportion Layers'!$AF$8:$AF$320,MATCH('OPEB Amounts_Report'!A225,'Change in Proportion Layers'!$A$8:$A$320,0))</f>
        <v>13683</v>
      </c>
      <c r="M225" s="148">
        <f t="shared" si="17"/>
        <v>99764</v>
      </c>
      <c r="N225" s="220"/>
      <c r="O225" s="220">
        <f>ROUND(VLOOKUP(A225,'Contribution Allocation_Report'!$A$9:$D$314,4,FALSE)*'OPEB Amounts_Report'!$O$321,0)</f>
        <v>-22710</v>
      </c>
      <c r="P225" s="220">
        <f>INDEX('Change in Proportion Layers'!$AC$8:$AC$320,MATCH('OPEB Amounts_Report'!A225,'Change in Proportion Layers'!$A$8:$A$320,0))</f>
        <v>15026</v>
      </c>
      <c r="Q225" s="220">
        <f t="shared" si="18"/>
        <v>-7684</v>
      </c>
    </row>
    <row r="226" spans="1:17" ht="12" customHeight="1">
      <c r="A226" s="51">
        <v>4011</v>
      </c>
      <c r="B226" s="55" t="s">
        <v>210</v>
      </c>
      <c r="C226" s="147">
        <f>ROUND(VLOOKUP(A226,'Contribution Allocation_Report'!$A$9:$D$314,4,FALSE)*'OPEB Amounts_Report'!$C$321,0)</f>
        <v>19976686</v>
      </c>
      <c r="D226" s="147">
        <f>ROUND(VLOOKUP(A226,'Contribution Allocation_Report'!$A$9:$D$314,4,FALSE)*'OPEB Amounts_Report'!$D$321,0)</f>
        <v>121493</v>
      </c>
      <c r="E226" s="147">
        <f>ROUND(VLOOKUP(A226,'Contribution Allocation_Report'!$A$9:$D$314,4,FALSE)*'OPEB Amounts_Report'!$E$321,0)</f>
        <v>2874628</v>
      </c>
      <c r="F226" s="147">
        <f>INDEX('Change in Proportion Layers'!$AE$8:$AE$320,MATCH('OPEB Amounts_Report'!A226,'Change in Proportion Layers'!$A$8:$A$320,0))</f>
        <v>1386399</v>
      </c>
      <c r="G226" s="147">
        <f t="shared" si="16"/>
        <v>4382520</v>
      </c>
      <c r="H226" s="147"/>
      <c r="I226" s="147">
        <f>ROUND(VLOOKUP(A226,'Contribution Allocation_Report'!$A$9:$D$314,4,FALSE)*'OPEB Amounts_Report'!$I$321,0)</f>
        <v>3432496</v>
      </c>
      <c r="J226" s="147">
        <f>ROUND(VLOOKUP(A226,'Contribution Allocation_Report'!$A$9:$D$314,4,FALSE)*'OPEB Amounts_Report'!$J$321,0)</f>
        <v>302229</v>
      </c>
      <c r="K226" s="147">
        <f>ROUND(VLOOKUP(A226,'Contribution Allocation_Report'!$A$9:$D$314,4,FALSE)*$K$321,0)</f>
        <v>9213225</v>
      </c>
      <c r="L226" s="147">
        <f>INDEX('Change in Proportion Layers'!$AF$8:$AF$320,MATCH('OPEB Amounts_Report'!A226,'Change in Proportion Layers'!$A$8:$A$320,0))</f>
        <v>1219579</v>
      </c>
      <c r="M226" s="147">
        <f t="shared" si="17"/>
        <v>14167529</v>
      </c>
      <c r="N226" s="221"/>
      <c r="O226" s="221">
        <f>ROUND(VLOOKUP(A226,'Contribution Allocation_Report'!$A$9:$D$314,4,FALSE)*'OPEB Amounts_Report'!$O$321,0)</f>
        <v>-3416016</v>
      </c>
      <c r="P226" s="221">
        <f>INDEX('Change in Proportion Layers'!$AC$8:$AC$320,MATCH('OPEB Amounts_Report'!A226,'Change in Proportion Layers'!$A$8:$A$320,0))</f>
        <v>655695</v>
      </c>
      <c r="Q226" s="221">
        <f t="shared" si="18"/>
        <v>-2760321</v>
      </c>
    </row>
    <row r="227" spans="1:17" ht="12" customHeight="1">
      <c r="A227" s="53">
        <v>31092</v>
      </c>
      <c r="B227" s="54" t="s">
        <v>211</v>
      </c>
      <c r="C227" s="148">
        <f>ROUND(VLOOKUP(A227,'Contribution Allocation_Report'!$A$9:$D$314,4,FALSE)*'OPEB Amounts_Report'!$C$321,0)</f>
        <v>322542</v>
      </c>
      <c r="D227" s="148">
        <f>ROUND(VLOOKUP(A227,'Contribution Allocation_Report'!$A$9:$D$314,4,FALSE)*'OPEB Amounts_Report'!$D$321,0)</f>
        <v>1962</v>
      </c>
      <c r="E227" s="148">
        <f>ROUND(VLOOKUP(A227,'Contribution Allocation_Report'!$A$9:$D$314,4,FALSE)*'OPEB Amounts_Report'!$E$321,0)</f>
        <v>46414</v>
      </c>
      <c r="F227" s="148">
        <f>INDEX('Change in Proportion Layers'!$AE$8:$AE$320,MATCH('OPEB Amounts_Report'!A227,'Change in Proportion Layers'!$A$8:$A$320,0))</f>
        <v>57345</v>
      </c>
      <c r="G227" s="148">
        <f t="shared" si="16"/>
        <v>105721</v>
      </c>
      <c r="H227" s="148"/>
      <c r="I227" s="148">
        <f>ROUND(VLOOKUP(A227,'Contribution Allocation_Report'!$A$9:$D$314,4,FALSE)*'OPEB Amounts_Report'!$I$321,0)</f>
        <v>55421</v>
      </c>
      <c r="J227" s="148">
        <f>ROUND(VLOOKUP(A227,'Contribution Allocation_Report'!$A$9:$D$314,4,FALSE)*'OPEB Amounts_Report'!$J$321,0)</f>
        <v>4880</v>
      </c>
      <c r="K227" s="148">
        <f>ROUND(VLOOKUP(A227,'Contribution Allocation_Report'!$A$9:$D$314,4,FALSE)*$K$321,0)</f>
        <v>148756</v>
      </c>
      <c r="L227" s="148">
        <f>INDEX('Change in Proportion Layers'!$AF$8:$AF$320,MATCH('OPEB Amounts_Report'!A227,'Change in Proportion Layers'!$A$8:$A$320,0))</f>
        <v>50567</v>
      </c>
      <c r="M227" s="148">
        <f t="shared" si="17"/>
        <v>259624</v>
      </c>
      <c r="N227" s="220"/>
      <c r="O227" s="220">
        <f>ROUND(VLOOKUP(A227,'Contribution Allocation_Report'!$A$9:$D$314,4,FALSE)*'OPEB Amounts_Report'!$O$321,0)</f>
        <v>-55155</v>
      </c>
      <c r="P227" s="220">
        <f>INDEX('Change in Proportion Layers'!$AC$8:$AC$320,MATCH('OPEB Amounts_Report'!A227,'Change in Proportion Layers'!$A$8:$A$320,0))</f>
        <v>13777</v>
      </c>
      <c r="Q227" s="220">
        <f t="shared" si="18"/>
        <v>-41378</v>
      </c>
    </row>
    <row r="228" spans="1:17" ht="12" customHeight="1">
      <c r="A228" s="51">
        <v>26081</v>
      </c>
      <c r="B228" s="55" t="s">
        <v>212</v>
      </c>
      <c r="C228" s="147">
        <f>ROUND(VLOOKUP(A228,'Contribution Allocation_Report'!$A$9:$D$314,4,FALSE)*'OPEB Amounts_Report'!$C$321,0)</f>
        <v>3438320</v>
      </c>
      <c r="D228" s="147">
        <f>ROUND(VLOOKUP(A228,'Contribution Allocation_Report'!$A$9:$D$314,4,FALSE)*'OPEB Amounts_Report'!$D$321,0)</f>
        <v>20911</v>
      </c>
      <c r="E228" s="147">
        <f>ROUND(VLOOKUP(A228,'Contribution Allocation_Report'!$A$9:$D$314,4,FALSE)*'OPEB Amounts_Report'!$E$321,0)</f>
        <v>494771</v>
      </c>
      <c r="F228" s="147">
        <f>INDEX('Change in Proportion Layers'!$AE$8:$AE$320,MATCH('OPEB Amounts_Report'!A228,'Change in Proportion Layers'!$A$8:$A$320,0))</f>
        <v>534338</v>
      </c>
      <c r="G228" s="147">
        <f t="shared" si="16"/>
        <v>1050020</v>
      </c>
      <c r="H228" s="147"/>
      <c r="I228" s="147">
        <f>ROUND(VLOOKUP(A228,'Contribution Allocation_Report'!$A$9:$D$314,4,FALSE)*'OPEB Amounts_Report'!$I$321,0)</f>
        <v>590790</v>
      </c>
      <c r="J228" s="147">
        <f>ROUND(VLOOKUP(A228,'Contribution Allocation_Report'!$A$9:$D$314,4,FALSE)*'OPEB Amounts_Report'!$J$321,0)</f>
        <v>52019</v>
      </c>
      <c r="K228" s="147">
        <f>ROUND(VLOOKUP(A228,'Contribution Allocation_Report'!$A$9:$D$314,4,FALSE)*$K$321,0)</f>
        <v>1585749</v>
      </c>
      <c r="L228" s="147">
        <f>INDEX('Change in Proportion Layers'!$AF$8:$AF$320,MATCH('OPEB Amounts_Report'!A228,'Change in Proportion Layers'!$A$8:$A$320,0))</f>
        <v>680285</v>
      </c>
      <c r="M228" s="147">
        <f t="shared" si="17"/>
        <v>2908843</v>
      </c>
      <c r="N228" s="221"/>
      <c r="O228" s="221">
        <f>ROUND(VLOOKUP(A228,'Contribution Allocation_Report'!$A$9:$D$314,4,FALSE)*'OPEB Amounts_Report'!$O$321,0)</f>
        <v>-587953</v>
      </c>
      <c r="P228" s="221">
        <f>INDEX('Change in Proportion Layers'!$AC$8:$AC$320,MATCH('OPEB Amounts_Report'!A228,'Change in Proportion Layers'!$A$8:$A$320,0))</f>
        <v>-13381</v>
      </c>
      <c r="Q228" s="221">
        <f t="shared" si="18"/>
        <v>-601334</v>
      </c>
    </row>
    <row r="229" spans="1:17" ht="12" customHeight="1">
      <c r="A229" s="53">
        <v>29305</v>
      </c>
      <c r="B229" s="54" t="s">
        <v>213</v>
      </c>
      <c r="C229" s="148">
        <f>ROUND(VLOOKUP(A229,'Contribution Allocation_Report'!$A$9:$D$314,4,FALSE)*'OPEB Amounts_Report'!$C$321,0)</f>
        <v>185773</v>
      </c>
      <c r="D229" s="148">
        <f>ROUND(VLOOKUP(A229,'Contribution Allocation_Report'!$A$9:$D$314,4,FALSE)*'OPEB Amounts_Report'!$D$321,0)</f>
        <v>1130</v>
      </c>
      <c r="E229" s="148">
        <f>ROUND(VLOOKUP(A229,'Contribution Allocation_Report'!$A$9:$D$314,4,FALSE)*'OPEB Amounts_Report'!$E$321,0)</f>
        <v>26733</v>
      </c>
      <c r="F229" s="148">
        <f>INDEX('Change in Proportion Layers'!$AE$8:$AE$320,MATCH('OPEB Amounts_Report'!A229,'Change in Proportion Layers'!$A$8:$A$320,0))</f>
        <v>36882</v>
      </c>
      <c r="G229" s="148">
        <f t="shared" si="16"/>
        <v>64745</v>
      </c>
      <c r="H229" s="148"/>
      <c r="I229" s="148">
        <f>ROUND(VLOOKUP(A229,'Contribution Allocation_Report'!$A$9:$D$314,4,FALSE)*'OPEB Amounts_Report'!$I$321,0)</f>
        <v>31920</v>
      </c>
      <c r="J229" s="148">
        <f>ROUND(VLOOKUP(A229,'Contribution Allocation_Report'!$A$9:$D$314,4,FALSE)*'OPEB Amounts_Report'!$J$321,0)</f>
        <v>2811</v>
      </c>
      <c r="K229" s="148">
        <f>ROUND(VLOOKUP(A229,'Contribution Allocation_Report'!$A$9:$D$314,4,FALSE)*$K$321,0)</f>
        <v>85678</v>
      </c>
      <c r="L229" s="148">
        <f>INDEX('Change in Proportion Layers'!$AF$8:$AF$320,MATCH('OPEB Amounts_Report'!A229,'Change in Proportion Layers'!$A$8:$A$320,0))</f>
        <v>162111</v>
      </c>
      <c r="M229" s="148">
        <f t="shared" si="17"/>
        <v>282520</v>
      </c>
      <c r="N229" s="220"/>
      <c r="O229" s="220">
        <f>ROUND(VLOOKUP(A229,'Contribution Allocation_Report'!$A$9:$D$314,4,FALSE)*'OPEB Amounts_Report'!$O$321,0)</f>
        <v>-31767</v>
      </c>
      <c r="P229" s="220">
        <f>INDEX('Change in Proportion Layers'!$AC$8:$AC$320,MATCH('OPEB Amounts_Report'!A229,'Change in Proportion Layers'!$A$8:$A$320,0))</f>
        <v>-44784</v>
      </c>
      <c r="Q229" s="220">
        <f t="shared" si="18"/>
        <v>-76551</v>
      </c>
    </row>
    <row r="230" spans="1:17" ht="12" customHeight="1">
      <c r="A230" s="51">
        <v>10032</v>
      </c>
      <c r="B230" s="55" t="s">
        <v>214</v>
      </c>
      <c r="C230" s="147">
        <f>ROUND(VLOOKUP(A230,'Contribution Allocation_Report'!$A$9:$D$314,4,FALSE)*'OPEB Amounts_Report'!$C$321,0)</f>
        <v>438260</v>
      </c>
      <c r="D230" s="147">
        <f>ROUND(VLOOKUP(A230,'Contribution Allocation_Report'!$A$9:$D$314,4,FALSE)*'OPEB Amounts_Report'!$D$321,0)</f>
        <v>2665</v>
      </c>
      <c r="E230" s="147">
        <f>ROUND(VLOOKUP(A230,'Contribution Allocation_Report'!$A$9:$D$314,4,FALSE)*'OPEB Amounts_Report'!$E$321,0)</f>
        <v>63065</v>
      </c>
      <c r="F230" s="147">
        <f>INDEX('Change in Proportion Layers'!$AE$8:$AE$320,MATCH('OPEB Amounts_Report'!A230,'Change in Proportion Layers'!$A$8:$A$320,0))</f>
        <v>105734</v>
      </c>
      <c r="G230" s="147">
        <f t="shared" si="16"/>
        <v>171464</v>
      </c>
      <c r="H230" s="147"/>
      <c r="I230" s="147">
        <f>ROUND(VLOOKUP(A230,'Contribution Allocation_Report'!$A$9:$D$314,4,FALSE)*'OPEB Amounts_Report'!$I$321,0)</f>
        <v>75304</v>
      </c>
      <c r="J230" s="147">
        <f>ROUND(VLOOKUP(A230,'Contribution Allocation_Report'!$A$9:$D$314,4,FALSE)*'OPEB Amounts_Report'!$J$321,0)</f>
        <v>6630</v>
      </c>
      <c r="K230" s="147">
        <f>ROUND(VLOOKUP(A230,'Contribution Allocation_Report'!$A$9:$D$314,4,FALSE)*$K$321,0)</f>
        <v>202125</v>
      </c>
      <c r="L230" s="147">
        <f>INDEX('Change in Proportion Layers'!$AF$8:$AF$320,MATCH('OPEB Amounts_Report'!A230,'Change in Proportion Layers'!$A$8:$A$320,0))</f>
        <v>53483</v>
      </c>
      <c r="M230" s="147">
        <f t="shared" si="17"/>
        <v>337542</v>
      </c>
      <c r="N230" s="221"/>
      <c r="O230" s="221">
        <f>ROUND(VLOOKUP(A230,'Contribution Allocation_Report'!$A$9:$D$314,4,FALSE)*'OPEB Amounts_Report'!$O$321,0)</f>
        <v>-74943</v>
      </c>
      <c r="P230" s="221">
        <f>INDEX('Change in Proportion Layers'!$AC$8:$AC$320,MATCH('OPEB Amounts_Report'!A230,'Change in Proportion Layers'!$A$8:$A$320,0))</f>
        <v>-5832</v>
      </c>
      <c r="Q230" s="221">
        <f t="shared" si="18"/>
        <v>-80775</v>
      </c>
    </row>
    <row r="231" spans="1:17" ht="12" customHeight="1">
      <c r="A231" s="53">
        <v>32107</v>
      </c>
      <c r="B231" s="54" t="s">
        <v>215</v>
      </c>
      <c r="C231" s="148">
        <f>ROUND(VLOOKUP(A231,'Contribution Allocation_Report'!$A$9:$D$314,4,FALSE)*'OPEB Amounts_Report'!$C$321,0)</f>
        <v>559235</v>
      </c>
      <c r="D231" s="148">
        <f>ROUND(VLOOKUP(A231,'Contribution Allocation_Report'!$A$9:$D$314,4,FALSE)*'OPEB Amounts_Report'!$D$321,0)</f>
        <v>3401</v>
      </c>
      <c r="E231" s="148">
        <f>ROUND(VLOOKUP(A231,'Contribution Allocation_Report'!$A$9:$D$314,4,FALSE)*'OPEB Amounts_Report'!$E$321,0)</f>
        <v>80473</v>
      </c>
      <c r="F231" s="148">
        <f>INDEX('Change in Proportion Layers'!$AE$8:$AE$320,MATCH('OPEB Amounts_Report'!A231,'Change in Proportion Layers'!$A$8:$A$320,0))</f>
        <v>141089</v>
      </c>
      <c r="G231" s="148">
        <f t="shared" si="16"/>
        <v>224963</v>
      </c>
      <c r="H231" s="148"/>
      <c r="I231" s="148">
        <f>ROUND(VLOOKUP(A231,'Contribution Allocation_Report'!$A$9:$D$314,4,FALSE)*'OPEB Amounts_Report'!$I$321,0)</f>
        <v>96091</v>
      </c>
      <c r="J231" s="148">
        <f>ROUND(VLOOKUP(A231,'Contribution Allocation_Report'!$A$9:$D$314,4,FALSE)*'OPEB Amounts_Report'!$J$321,0)</f>
        <v>8461</v>
      </c>
      <c r="K231" s="148">
        <f>ROUND(VLOOKUP(A231,'Contribution Allocation_Report'!$A$9:$D$314,4,FALSE)*$K$321,0)</f>
        <v>257918</v>
      </c>
      <c r="L231" s="148">
        <f>INDEX('Change in Proportion Layers'!$AF$8:$AF$320,MATCH('OPEB Amounts_Report'!A231,'Change in Proportion Layers'!$A$8:$A$320,0))</f>
        <v>81785</v>
      </c>
      <c r="M231" s="148">
        <f t="shared" si="17"/>
        <v>444255</v>
      </c>
      <c r="N231" s="220"/>
      <c r="O231" s="220">
        <f>ROUND(VLOOKUP(A231,'Contribution Allocation_Report'!$A$9:$D$314,4,FALSE)*'OPEB Amounts_Report'!$O$321,0)</f>
        <v>-95629</v>
      </c>
      <c r="P231" s="220">
        <f>INDEX('Change in Proportion Layers'!$AC$8:$AC$320,MATCH('OPEB Amounts_Report'!A231,'Change in Proportion Layers'!$A$8:$A$320,0))</f>
        <v>-39337</v>
      </c>
      <c r="Q231" s="220">
        <f t="shared" si="18"/>
        <v>-134966</v>
      </c>
    </row>
    <row r="232" spans="1:17" ht="12" customHeight="1">
      <c r="A232" s="51">
        <v>3260</v>
      </c>
      <c r="B232" s="55" t="s">
        <v>216</v>
      </c>
      <c r="C232" s="147">
        <f>ROUND(VLOOKUP(A232,'Contribution Allocation_Report'!$A$9:$D$314,4,FALSE)*'OPEB Amounts_Report'!$C$321,0)</f>
        <v>8370305</v>
      </c>
      <c r="D232" s="147">
        <f>ROUND(VLOOKUP(A232,'Contribution Allocation_Report'!$A$9:$D$314,4,FALSE)*'OPEB Amounts_Report'!$D$321,0)</f>
        <v>50906</v>
      </c>
      <c r="E232" s="147">
        <f>ROUND(VLOOKUP(A232,'Contribution Allocation_Report'!$A$9:$D$314,4,FALSE)*'OPEB Amounts_Report'!$E$321,0)</f>
        <v>1204480</v>
      </c>
      <c r="F232" s="147">
        <f>INDEX('Change in Proportion Layers'!$AE$8:$AE$320,MATCH('OPEB Amounts_Report'!A232,'Change in Proportion Layers'!$A$8:$A$320,0))</f>
        <v>305074</v>
      </c>
      <c r="G232" s="147">
        <f t="shared" si="16"/>
        <v>1560460</v>
      </c>
      <c r="H232" s="147"/>
      <c r="I232" s="147">
        <f>ROUND(VLOOKUP(A232,'Contribution Allocation_Report'!$A$9:$D$314,4,FALSE)*'OPEB Amounts_Report'!$I$321,0)</f>
        <v>1438229</v>
      </c>
      <c r="J232" s="147">
        <f>ROUND(VLOOKUP(A232,'Contribution Allocation_Report'!$A$9:$D$314,4,FALSE)*'OPEB Amounts_Report'!$J$321,0)</f>
        <v>126635</v>
      </c>
      <c r="K232" s="147">
        <f>ROUND(VLOOKUP(A232,'Contribution Allocation_Report'!$A$9:$D$314,4,FALSE)*$K$321,0)</f>
        <v>3860376</v>
      </c>
      <c r="L232" s="147">
        <f>INDEX('Change in Proportion Layers'!$AF$8:$AF$320,MATCH('OPEB Amounts_Report'!A232,'Change in Proportion Layers'!$A$8:$A$320,0))</f>
        <v>1541775</v>
      </c>
      <c r="M232" s="147">
        <f t="shared" si="17"/>
        <v>6967015</v>
      </c>
      <c r="N232" s="221"/>
      <c r="O232" s="221">
        <f>ROUND(VLOOKUP(A232,'Contribution Allocation_Report'!$A$9:$D$314,4,FALSE)*'OPEB Amounts_Report'!$O$321,0)</f>
        <v>-1431324</v>
      </c>
      <c r="P232" s="221">
        <f>INDEX('Change in Proportion Layers'!$AC$8:$AC$320,MATCH('OPEB Amounts_Report'!A232,'Change in Proportion Layers'!$A$8:$A$320,0))</f>
        <v>-969435</v>
      </c>
      <c r="Q232" s="221">
        <f t="shared" si="18"/>
        <v>-2400759</v>
      </c>
    </row>
    <row r="233" spans="1:17" ht="12" customHeight="1">
      <c r="A233" s="53">
        <v>4390</v>
      </c>
      <c r="B233" s="54" t="s">
        <v>217</v>
      </c>
      <c r="C233" s="148">
        <f>ROUND(VLOOKUP(A233,'Contribution Allocation_Report'!$A$9:$D$314,4,FALSE)*'OPEB Amounts_Report'!$C$321,0)</f>
        <v>100451</v>
      </c>
      <c r="D233" s="148">
        <f>ROUND(VLOOKUP(A233,'Contribution Allocation_Report'!$A$9:$D$314,4,FALSE)*'OPEB Amounts_Report'!$D$321,0)</f>
        <v>611</v>
      </c>
      <c r="E233" s="148">
        <f>ROUND(VLOOKUP(A233,'Contribution Allocation_Report'!$A$9:$D$314,4,FALSE)*'OPEB Amounts_Report'!$E$321,0)</f>
        <v>14455</v>
      </c>
      <c r="F233" s="148">
        <f>INDEX('Change in Proportion Layers'!$AE$8:$AE$320,MATCH('OPEB Amounts_Report'!A233,'Change in Proportion Layers'!$A$8:$A$320,0))</f>
        <v>47368</v>
      </c>
      <c r="G233" s="148">
        <f t="shared" si="16"/>
        <v>62434</v>
      </c>
      <c r="H233" s="148"/>
      <c r="I233" s="148">
        <f>ROUND(VLOOKUP(A233,'Contribution Allocation_Report'!$A$9:$D$314,4,FALSE)*'OPEB Amounts_Report'!$I$321,0)</f>
        <v>17260</v>
      </c>
      <c r="J233" s="148">
        <f>ROUND(VLOOKUP(A233,'Contribution Allocation_Report'!$A$9:$D$314,4,FALSE)*'OPEB Amounts_Report'!$J$321,0)</f>
        <v>1520</v>
      </c>
      <c r="K233" s="148">
        <f>ROUND(VLOOKUP(A233,'Contribution Allocation_Report'!$A$9:$D$314,4,FALSE)*$K$321,0)</f>
        <v>46328</v>
      </c>
      <c r="L233" s="148">
        <f>INDEX('Change in Proportion Layers'!$AF$8:$AF$320,MATCH('OPEB Amounts_Report'!A233,'Change in Proportion Layers'!$A$8:$A$320,0))</f>
        <v>30900</v>
      </c>
      <c r="M233" s="148">
        <f t="shared" si="17"/>
        <v>96008</v>
      </c>
      <c r="N233" s="220"/>
      <c r="O233" s="220">
        <f>ROUND(VLOOKUP(A233,'Contribution Allocation_Report'!$A$9:$D$314,4,FALSE)*'OPEB Amounts_Report'!$O$321,0)</f>
        <v>-17177</v>
      </c>
      <c r="P233" s="220">
        <f>INDEX('Change in Proportion Layers'!$AC$8:$AC$320,MATCH('OPEB Amounts_Report'!A233,'Change in Proportion Layers'!$A$8:$A$320,0))</f>
        <v>4209</v>
      </c>
      <c r="Q233" s="220">
        <f t="shared" si="18"/>
        <v>-12968</v>
      </c>
    </row>
    <row r="234" spans="1:17" ht="12" customHeight="1">
      <c r="A234" s="51">
        <v>3270</v>
      </c>
      <c r="B234" s="55" t="s">
        <v>218</v>
      </c>
      <c r="C234" s="147">
        <f>ROUND(VLOOKUP(A234,'Contribution Allocation_Report'!$A$9:$D$314,4,FALSE)*'OPEB Amounts_Report'!$C$321,0)</f>
        <v>1278025</v>
      </c>
      <c r="D234" s="147">
        <f>ROUND(VLOOKUP(A234,'Contribution Allocation_Report'!$A$9:$D$314,4,FALSE)*'OPEB Amounts_Report'!$D$321,0)</f>
        <v>7773</v>
      </c>
      <c r="E234" s="147">
        <f>ROUND(VLOOKUP(A234,'Contribution Allocation_Report'!$A$9:$D$314,4,FALSE)*'OPEB Amounts_Report'!$E$321,0)</f>
        <v>183907</v>
      </c>
      <c r="F234" s="147">
        <f>INDEX('Change in Proportion Layers'!$AE$8:$AE$320,MATCH('OPEB Amounts_Report'!A234,'Change in Proportion Layers'!$A$8:$A$320,0))</f>
        <v>173190</v>
      </c>
      <c r="G234" s="147">
        <f t="shared" si="16"/>
        <v>364870</v>
      </c>
      <c r="H234" s="147"/>
      <c r="I234" s="147">
        <f>ROUND(VLOOKUP(A234,'Contribution Allocation_Report'!$A$9:$D$314,4,FALSE)*'OPEB Amounts_Report'!$I$321,0)</f>
        <v>219597</v>
      </c>
      <c r="J234" s="147">
        <f>ROUND(VLOOKUP(A234,'Contribution Allocation_Report'!$A$9:$D$314,4,FALSE)*'OPEB Amounts_Report'!$J$321,0)</f>
        <v>19335</v>
      </c>
      <c r="K234" s="147">
        <f>ROUND(VLOOKUP(A234,'Contribution Allocation_Report'!$A$9:$D$314,4,FALSE)*$K$321,0)</f>
        <v>589424</v>
      </c>
      <c r="L234" s="147">
        <f>INDEX('Change in Proportion Layers'!$AF$8:$AF$320,MATCH('OPEB Amounts_Report'!A234,'Change in Proportion Layers'!$A$8:$A$320,0))</f>
        <v>285928</v>
      </c>
      <c r="M234" s="147">
        <f t="shared" si="17"/>
        <v>1114284</v>
      </c>
      <c r="N234" s="221"/>
      <c r="O234" s="221">
        <f>ROUND(VLOOKUP(A234,'Contribution Allocation_Report'!$A$9:$D$314,4,FALSE)*'OPEB Amounts_Report'!$O$321,0)</f>
        <v>-218542</v>
      </c>
      <c r="P234" s="221">
        <f>INDEX('Change in Proportion Layers'!$AC$8:$AC$320,MATCH('OPEB Amounts_Report'!A234,'Change in Proportion Layers'!$A$8:$A$320,0))</f>
        <v>-89459</v>
      </c>
      <c r="Q234" s="221">
        <f t="shared" si="18"/>
        <v>-308001</v>
      </c>
    </row>
    <row r="235" spans="1:17" ht="12" customHeight="1">
      <c r="A235" s="53">
        <v>29303</v>
      </c>
      <c r="B235" s="54" t="s">
        <v>219</v>
      </c>
      <c r="C235" s="148">
        <f>ROUND(VLOOKUP(A235,'Contribution Allocation_Report'!$A$9:$D$314,4,FALSE)*'OPEB Amounts_Report'!$C$321,0)</f>
        <v>370271</v>
      </c>
      <c r="D235" s="148">
        <f>ROUND(VLOOKUP(A235,'Contribution Allocation_Report'!$A$9:$D$314,4,FALSE)*'OPEB Amounts_Report'!$D$321,0)</f>
        <v>2252</v>
      </c>
      <c r="E235" s="148">
        <f>ROUND(VLOOKUP(A235,'Contribution Allocation_Report'!$A$9:$D$314,4,FALSE)*'OPEB Amounts_Report'!$E$321,0)</f>
        <v>53282</v>
      </c>
      <c r="F235" s="148">
        <f>INDEX('Change in Proportion Layers'!$AE$8:$AE$320,MATCH('OPEB Amounts_Report'!A235,'Change in Proportion Layers'!$A$8:$A$320,0))</f>
        <v>146530</v>
      </c>
      <c r="G235" s="148">
        <f t="shared" si="16"/>
        <v>202064</v>
      </c>
      <c r="H235" s="148"/>
      <c r="I235" s="148">
        <f>ROUND(VLOOKUP(A235,'Contribution Allocation_Report'!$A$9:$D$314,4,FALSE)*'OPEB Amounts_Report'!$I$321,0)</f>
        <v>63622</v>
      </c>
      <c r="J235" s="148">
        <f>ROUND(VLOOKUP(A235,'Contribution Allocation_Report'!$A$9:$D$314,4,FALSE)*'OPEB Amounts_Report'!$J$321,0)</f>
        <v>5602</v>
      </c>
      <c r="K235" s="148">
        <f>ROUND(VLOOKUP(A235,'Contribution Allocation_Report'!$A$9:$D$314,4,FALSE)*$K$321,0)</f>
        <v>170769</v>
      </c>
      <c r="L235" s="148">
        <f>INDEX('Change in Proportion Layers'!$AF$8:$AF$320,MATCH('OPEB Amounts_Report'!A235,'Change in Proportion Layers'!$A$8:$A$320,0))</f>
        <v>106281</v>
      </c>
      <c r="M235" s="148">
        <f t="shared" si="17"/>
        <v>346274</v>
      </c>
      <c r="N235" s="220"/>
      <c r="O235" s="220">
        <f>ROUND(VLOOKUP(A235,'Contribution Allocation_Report'!$A$9:$D$314,4,FALSE)*'OPEB Amounts_Report'!$O$321,0)</f>
        <v>-63316</v>
      </c>
      <c r="P235" s="220">
        <f>INDEX('Change in Proportion Layers'!$AC$8:$AC$320,MATCH('OPEB Amounts_Report'!A235,'Change in Proportion Layers'!$A$8:$A$320,0))</f>
        <v>114425</v>
      </c>
      <c r="Q235" s="220">
        <f t="shared" si="18"/>
        <v>51109</v>
      </c>
    </row>
    <row r="236" spans="1:17" ht="12" customHeight="1">
      <c r="A236" s="51">
        <v>3280</v>
      </c>
      <c r="B236" s="55" t="s">
        <v>412</v>
      </c>
      <c r="C236" s="147">
        <f>ROUND(VLOOKUP(A236,'Contribution Allocation_Report'!$A$9:$D$314,4,FALSE)*'OPEB Amounts_Report'!$C$321,0)</f>
        <v>6568010</v>
      </c>
      <c r="D236" s="147">
        <f>ROUND(VLOOKUP(A236,'Contribution Allocation_Report'!$A$9:$D$314,4,FALSE)*'OPEB Amounts_Report'!$D$321,0)</f>
        <v>39945</v>
      </c>
      <c r="E236" s="147">
        <f>ROUND(VLOOKUP(A236,'Contribution Allocation_Report'!$A$9:$D$314,4,FALSE)*'OPEB Amounts_Report'!$E$321,0)</f>
        <v>945131</v>
      </c>
      <c r="F236" s="147">
        <f>INDEX('Change in Proportion Layers'!$AE$8:$AE$320,MATCH('OPEB Amounts_Report'!A236,'Change in Proportion Layers'!$A$8:$A$320,0))</f>
        <v>793579</v>
      </c>
      <c r="G236" s="147">
        <f t="shared" si="16"/>
        <v>1778655</v>
      </c>
      <c r="H236" s="147"/>
      <c r="I236" s="147">
        <f>ROUND(VLOOKUP(A236,'Contribution Allocation_Report'!$A$9:$D$314,4,FALSE)*'OPEB Amounts_Report'!$I$321,0)</f>
        <v>1128549</v>
      </c>
      <c r="J236" s="147">
        <f>ROUND(VLOOKUP(A236,'Contribution Allocation_Report'!$A$9:$D$314,4,FALSE)*'OPEB Amounts_Report'!$J$321,0)</f>
        <v>99368</v>
      </c>
      <c r="K236" s="147">
        <f>ROUND(VLOOKUP(A236,'Contribution Allocation_Report'!$A$9:$D$314,4,FALSE)*$K$321,0)</f>
        <v>3029159</v>
      </c>
      <c r="L236" s="147">
        <f>INDEX('Change in Proportion Layers'!$AF$8:$AF$320,MATCH('OPEB Amounts_Report'!A236,'Change in Proportion Layers'!$A$8:$A$320,0))</f>
        <v>558648</v>
      </c>
      <c r="M236" s="147">
        <f t="shared" si="17"/>
        <v>4815724</v>
      </c>
      <c r="N236" s="221"/>
      <c r="O236" s="221">
        <f>ROUND(VLOOKUP(A236,'Contribution Allocation_Report'!$A$9:$D$314,4,FALSE)*'OPEB Amounts_Report'!$O$321,0)</f>
        <v>-1123131</v>
      </c>
      <c r="P236" s="221">
        <f>INDEX('Change in Proportion Layers'!$AC$8:$AC$320,MATCH('OPEB Amounts_Report'!A236,'Change in Proportion Layers'!$A$8:$A$320,0))</f>
        <v>-84341</v>
      </c>
      <c r="Q236" s="221">
        <f t="shared" si="18"/>
        <v>-1207472</v>
      </c>
    </row>
    <row r="237" spans="1:17" ht="12" customHeight="1">
      <c r="A237" s="53">
        <v>4260</v>
      </c>
      <c r="B237" s="54" t="s">
        <v>221</v>
      </c>
      <c r="C237" s="148">
        <f>ROUND(VLOOKUP(A237,'Contribution Allocation_Report'!$A$9:$D$314,4,FALSE)*'OPEB Amounts_Report'!$C$321,0)</f>
        <v>478505</v>
      </c>
      <c r="D237" s="148">
        <f>ROUND(VLOOKUP(A237,'Contribution Allocation_Report'!$A$9:$D$314,4,FALSE)*'OPEB Amounts_Report'!$D$321,0)</f>
        <v>2910</v>
      </c>
      <c r="E237" s="148">
        <f>ROUND(VLOOKUP(A237,'Contribution Allocation_Report'!$A$9:$D$314,4,FALSE)*'OPEB Amounts_Report'!$E$321,0)</f>
        <v>68856</v>
      </c>
      <c r="F237" s="148">
        <f>INDEX('Change in Proportion Layers'!$AE$8:$AE$320,MATCH('OPEB Amounts_Report'!A237,'Change in Proportion Layers'!$A$8:$A$320,0))</f>
        <v>77848</v>
      </c>
      <c r="G237" s="148">
        <f t="shared" si="16"/>
        <v>149614</v>
      </c>
      <c r="H237" s="148"/>
      <c r="I237" s="148">
        <f>ROUND(VLOOKUP(A237,'Contribution Allocation_Report'!$A$9:$D$314,4,FALSE)*'OPEB Amounts_Report'!$I$321,0)</f>
        <v>82219</v>
      </c>
      <c r="J237" s="148">
        <f>ROUND(VLOOKUP(A237,'Contribution Allocation_Report'!$A$9:$D$314,4,FALSE)*'OPEB Amounts_Report'!$J$321,0)</f>
        <v>7239</v>
      </c>
      <c r="K237" s="148">
        <f>ROUND(VLOOKUP(A237,'Contribution Allocation_Report'!$A$9:$D$314,4,FALSE)*$K$321,0)</f>
        <v>220686</v>
      </c>
      <c r="L237" s="148">
        <f>INDEX('Change in Proportion Layers'!$AF$8:$AF$320,MATCH('OPEB Amounts_Report'!A237,'Change in Proportion Layers'!$A$8:$A$320,0))</f>
        <v>120127</v>
      </c>
      <c r="M237" s="148">
        <f t="shared" si="17"/>
        <v>430271</v>
      </c>
      <c r="N237" s="220"/>
      <c r="O237" s="220">
        <f>ROUND(VLOOKUP(A237,'Contribution Allocation_Report'!$A$9:$D$314,4,FALSE)*'OPEB Amounts_Report'!$O$321,0)</f>
        <v>-81824</v>
      </c>
      <c r="P237" s="220">
        <f>INDEX('Change in Proportion Layers'!$AC$8:$AC$320,MATCH('OPEB Amounts_Report'!A237,'Change in Proportion Layers'!$A$8:$A$320,0))</f>
        <v>-19646</v>
      </c>
      <c r="Q237" s="220">
        <f t="shared" si="18"/>
        <v>-101470</v>
      </c>
    </row>
    <row r="238" spans="1:17" ht="12" customHeight="1">
      <c r="A238" s="51">
        <v>1003</v>
      </c>
      <c r="B238" s="55" t="s">
        <v>222</v>
      </c>
      <c r="C238" s="147">
        <f>ROUND(VLOOKUP(A238,'Contribution Allocation_Report'!$A$9:$D$314,4,FALSE)*'OPEB Amounts_Report'!$C$321,0)</f>
        <v>7139102</v>
      </c>
      <c r="D238" s="147">
        <f>ROUND(VLOOKUP(A238,'Contribution Allocation_Report'!$A$9:$D$314,4,FALSE)*'OPEB Amounts_Report'!$D$321,0)</f>
        <v>43418</v>
      </c>
      <c r="E238" s="147">
        <f>ROUND(VLOOKUP(A238,'Contribution Allocation_Report'!$A$9:$D$314,4,FALSE)*'OPEB Amounts_Report'!$E$321,0)</f>
        <v>1027311</v>
      </c>
      <c r="F238" s="147">
        <f>INDEX('Change in Proportion Layers'!$AE$8:$AE$320,MATCH('OPEB Amounts_Report'!A238,'Change in Proportion Layers'!$A$8:$A$320,0))</f>
        <v>729489</v>
      </c>
      <c r="G238" s="147">
        <f t="shared" si="16"/>
        <v>1800218</v>
      </c>
      <c r="H238" s="147"/>
      <c r="I238" s="147">
        <f>ROUND(VLOOKUP(A238,'Contribution Allocation_Report'!$A$9:$D$314,4,FALSE)*'OPEB Amounts_Report'!$I$321,0)</f>
        <v>1226677</v>
      </c>
      <c r="J238" s="147">
        <f>ROUND(VLOOKUP(A238,'Contribution Allocation_Report'!$A$9:$D$314,4,FALSE)*'OPEB Amounts_Report'!$J$321,0)</f>
        <v>108008</v>
      </c>
      <c r="K238" s="147">
        <f>ROUND(VLOOKUP(A238,'Contribution Allocation_Report'!$A$9:$D$314,4,FALSE)*$K$321,0)</f>
        <v>3292546</v>
      </c>
      <c r="L238" s="147">
        <f>INDEX('Change in Proportion Layers'!$AF$8:$AF$320,MATCH('OPEB Amounts_Report'!A238,'Change in Proportion Layers'!$A$8:$A$320,0))</f>
        <v>485274</v>
      </c>
      <c r="M238" s="147">
        <f t="shared" si="17"/>
        <v>5112505</v>
      </c>
      <c r="N238" s="221"/>
      <c r="O238" s="221">
        <f>ROUND(VLOOKUP(A238,'Contribution Allocation_Report'!$A$9:$D$314,4,FALSE)*'OPEB Amounts_Report'!$O$321,0)</f>
        <v>-1220788</v>
      </c>
      <c r="P238" s="221">
        <f>INDEX('Change in Proportion Layers'!$AC$8:$AC$320,MATCH('OPEB Amounts_Report'!A238,'Change in Proportion Layers'!$A$8:$A$320,0))</f>
        <v>-373597</v>
      </c>
      <c r="Q238" s="221">
        <f t="shared" si="18"/>
        <v>-1594385</v>
      </c>
    </row>
    <row r="239" spans="1:17" ht="12" customHeight="1">
      <c r="A239" s="53">
        <v>3290</v>
      </c>
      <c r="B239" s="54" t="s">
        <v>223</v>
      </c>
      <c r="C239" s="148">
        <f>ROUND(VLOOKUP(A239,'Contribution Allocation_Report'!$A$9:$D$314,4,FALSE)*'OPEB Amounts_Report'!$C$321,0)</f>
        <v>15105343</v>
      </c>
      <c r="D239" s="148">
        <f>ROUND(VLOOKUP(A239,'Contribution Allocation_Report'!$A$9:$D$314,4,FALSE)*'OPEB Amounts_Report'!$D$321,0)</f>
        <v>91867</v>
      </c>
      <c r="E239" s="148">
        <f>ROUND(VLOOKUP(A239,'Contribution Allocation_Report'!$A$9:$D$314,4,FALSE)*'OPEB Amounts_Report'!$E$321,0)</f>
        <v>2173646</v>
      </c>
      <c r="F239" s="148">
        <f>INDEX('Change in Proportion Layers'!$AE$8:$AE$320,MATCH('OPEB Amounts_Report'!A239,'Change in Proportion Layers'!$A$8:$A$320,0))</f>
        <v>3321309</v>
      </c>
      <c r="G239" s="148">
        <f t="shared" si="16"/>
        <v>5586822</v>
      </c>
      <c r="H239" s="148"/>
      <c r="I239" s="148">
        <f>ROUND(VLOOKUP(A239,'Contribution Allocation_Report'!$A$9:$D$314,4,FALSE)*'OPEB Amounts_Report'!$I$321,0)</f>
        <v>2595477</v>
      </c>
      <c r="J239" s="148">
        <f>ROUND(VLOOKUP(A239,'Contribution Allocation_Report'!$A$9:$D$314,4,FALSE)*'OPEB Amounts_Report'!$J$321,0)</f>
        <v>228530</v>
      </c>
      <c r="K239" s="148">
        <f>ROUND(VLOOKUP(A239,'Contribution Allocation_Report'!$A$9:$D$314,4,FALSE)*$K$321,0)</f>
        <v>6966568</v>
      </c>
      <c r="L239" s="148">
        <f>INDEX('Change in Proportion Layers'!$AF$8:$AF$320,MATCH('OPEB Amounts_Report'!A239,'Change in Proportion Layers'!$A$8:$A$320,0))</f>
        <v>2109562</v>
      </c>
      <c r="M239" s="148">
        <f t="shared" si="17"/>
        <v>11900137</v>
      </c>
      <c r="N239" s="220"/>
      <c r="O239" s="220">
        <f>ROUND(VLOOKUP(A239,'Contribution Allocation_Report'!$A$9:$D$314,4,FALSE)*'OPEB Amounts_Report'!$O$321,0)</f>
        <v>-2583016</v>
      </c>
      <c r="P239" s="220">
        <f>INDEX('Change in Proportion Layers'!$AC$8:$AC$320,MATCH('OPEB Amounts_Report'!A239,'Change in Proportion Layers'!$A$8:$A$320,0))</f>
        <v>-935542</v>
      </c>
      <c r="Q239" s="220">
        <f t="shared" si="18"/>
        <v>-3518558</v>
      </c>
    </row>
    <row r="240" spans="1:17" ht="12" customHeight="1">
      <c r="A240" s="51">
        <v>1002</v>
      </c>
      <c r="B240" s="55" t="s">
        <v>224</v>
      </c>
      <c r="C240" s="147">
        <f>ROUND(VLOOKUP(A240,'Contribution Allocation_Report'!$A$9:$D$314,4,FALSE)*'OPEB Amounts_Report'!$C$321,0)</f>
        <v>22651540</v>
      </c>
      <c r="D240" s="147">
        <f>ROUND(VLOOKUP(A240,'Contribution Allocation_Report'!$A$9:$D$314,4,FALSE)*'OPEB Amounts_Report'!$D$321,0)</f>
        <v>137760</v>
      </c>
      <c r="E240" s="147">
        <f>ROUND(VLOOKUP(A240,'Contribution Allocation_Report'!$A$9:$D$314,4,FALSE)*'OPEB Amounts_Report'!$E$321,0)</f>
        <v>3259537</v>
      </c>
      <c r="F240" s="147">
        <f>INDEX('Change in Proportion Layers'!$AE$8:$AE$320,MATCH('OPEB Amounts_Report'!A240,'Change in Proportion Layers'!$A$8:$A$320,0))</f>
        <v>0</v>
      </c>
      <c r="G240" s="147">
        <f t="shared" si="16"/>
        <v>3397297</v>
      </c>
      <c r="H240" s="147"/>
      <c r="I240" s="147">
        <f>ROUND(VLOOKUP(A240,'Contribution Allocation_Report'!$A$9:$D$314,4,FALSE)*'OPEB Amounts_Report'!$I$321,0)</f>
        <v>3892104</v>
      </c>
      <c r="J240" s="147">
        <f>ROUND(VLOOKUP(A240,'Contribution Allocation_Report'!$A$9:$D$314,4,FALSE)*'OPEB Amounts_Report'!$J$321,0)</f>
        <v>342697</v>
      </c>
      <c r="K240" s="147">
        <f>ROUND(VLOOKUP(A240,'Contribution Allocation_Report'!$A$9:$D$314,4,FALSE)*$K$321,0)</f>
        <v>10446865</v>
      </c>
      <c r="L240" s="147">
        <f>INDEX('Change in Proportion Layers'!$AF$8:$AF$320,MATCH('OPEB Amounts_Report'!A240,'Change in Proportion Layers'!$A$8:$A$320,0))</f>
        <v>6432618</v>
      </c>
      <c r="M240" s="147">
        <f t="shared" si="17"/>
        <v>21114284</v>
      </c>
      <c r="N240" s="221"/>
      <c r="O240" s="221">
        <f>ROUND(VLOOKUP(A240,'Contribution Allocation_Report'!$A$9:$D$314,4,FALSE)*'OPEB Amounts_Report'!$O$321,0)</f>
        <v>-3873417</v>
      </c>
      <c r="P240" s="221">
        <f>INDEX('Change in Proportion Layers'!$AC$8:$AC$320,MATCH('OPEB Amounts_Report'!A240,'Change in Proportion Layers'!$A$8:$A$320,0))</f>
        <v>-1401221</v>
      </c>
      <c r="Q240" s="221">
        <f t="shared" si="18"/>
        <v>-5274638</v>
      </c>
    </row>
    <row r="241" spans="1:17" ht="12" customHeight="1">
      <c r="A241" s="53">
        <v>4270</v>
      </c>
      <c r="B241" s="54" t="s">
        <v>413</v>
      </c>
      <c r="C241" s="148">
        <f>ROUND(VLOOKUP(A241,'Contribution Allocation_Report'!$A$9:$D$314,4,FALSE)*'OPEB Amounts_Report'!$C$321,0)</f>
        <v>539675</v>
      </c>
      <c r="D241" s="148">
        <f>ROUND(VLOOKUP(A241,'Contribution Allocation_Report'!$A$9:$D$314,4,FALSE)*'OPEB Amounts_Report'!$D$321,0)</f>
        <v>3282</v>
      </c>
      <c r="E241" s="148">
        <f>ROUND(VLOOKUP(A241,'Contribution Allocation_Report'!$A$9:$D$314,4,FALSE)*'OPEB Amounts_Report'!$E$321,0)</f>
        <v>77659</v>
      </c>
      <c r="F241" s="148">
        <f>INDEX('Change in Proportion Layers'!$AE$8:$AE$320,MATCH('OPEB Amounts_Report'!A241,'Change in Proportion Layers'!$A$8:$A$320,0))</f>
        <v>326963</v>
      </c>
      <c r="G241" s="148">
        <f t="shared" si="16"/>
        <v>407904</v>
      </c>
      <c r="H241" s="148"/>
      <c r="I241" s="148">
        <f>ROUND(VLOOKUP(A241,'Contribution Allocation_Report'!$A$9:$D$314,4,FALSE)*'OPEB Amounts_Report'!$I$321,0)</f>
        <v>92730</v>
      </c>
      <c r="J241" s="148">
        <f>ROUND(VLOOKUP(A241,'Contribution Allocation_Report'!$A$9:$D$314,4,FALSE)*'OPEB Amounts_Report'!$J$321,0)</f>
        <v>8165</v>
      </c>
      <c r="K241" s="148">
        <f>ROUND(VLOOKUP(A241,'Contribution Allocation_Report'!$A$9:$D$314,4,FALSE)*$K$321,0)</f>
        <v>248897</v>
      </c>
      <c r="L241" s="148">
        <f>INDEX('Change in Proportion Layers'!$AF$8:$AF$320,MATCH('OPEB Amounts_Report'!A241,'Change in Proportion Layers'!$A$8:$A$320,0))</f>
        <v>78320</v>
      </c>
      <c r="M241" s="148">
        <f t="shared" si="17"/>
        <v>428112</v>
      </c>
      <c r="N241" s="220"/>
      <c r="O241" s="220">
        <f>ROUND(VLOOKUP(A241,'Contribution Allocation_Report'!$A$9:$D$314,4,FALSE)*'OPEB Amounts_Report'!$O$321,0)</f>
        <v>-92285</v>
      </c>
      <c r="P241" s="220">
        <f>INDEX('Change in Proportion Layers'!$AC$8:$AC$320,MATCH('OPEB Amounts_Report'!A241,'Change in Proportion Layers'!$A$8:$A$320,0))</f>
        <v>283449</v>
      </c>
      <c r="Q241" s="220">
        <f t="shared" si="18"/>
        <v>191164</v>
      </c>
    </row>
    <row r="242" spans="1:17" ht="12" customHeight="1">
      <c r="A242" s="51">
        <v>24072</v>
      </c>
      <c r="B242" s="55" t="s">
        <v>225</v>
      </c>
      <c r="C242" s="147">
        <f>ROUND(VLOOKUP(A242,'Contribution Allocation_Report'!$A$9:$D$314,4,FALSE)*'OPEB Amounts_Report'!$C$321,0)</f>
        <v>1766676</v>
      </c>
      <c r="D242" s="147">
        <f>ROUND(VLOOKUP(A242,'Contribution Allocation_Report'!$A$9:$D$314,4,FALSE)*'OPEB Amounts_Report'!$D$321,0)</f>
        <v>10744</v>
      </c>
      <c r="E242" s="147">
        <f>ROUND(VLOOKUP(A242,'Contribution Allocation_Report'!$A$9:$D$314,4,FALSE)*'OPEB Amounts_Report'!$E$321,0)</f>
        <v>254223</v>
      </c>
      <c r="F242" s="147">
        <f>INDEX('Change in Proportion Layers'!$AE$8:$AE$320,MATCH('OPEB Amounts_Report'!A242,'Change in Proportion Layers'!$A$8:$A$320,0))</f>
        <v>228867</v>
      </c>
      <c r="G242" s="147">
        <f t="shared" si="16"/>
        <v>493834</v>
      </c>
      <c r="H242" s="147"/>
      <c r="I242" s="147">
        <f>ROUND(VLOOKUP(A242,'Contribution Allocation_Report'!$A$9:$D$314,4,FALSE)*'OPEB Amounts_Report'!$I$321,0)</f>
        <v>303559</v>
      </c>
      <c r="J242" s="147">
        <f>ROUND(VLOOKUP(A242,'Contribution Allocation_Report'!$A$9:$D$314,4,FALSE)*'OPEB Amounts_Report'!$J$321,0)</f>
        <v>26728</v>
      </c>
      <c r="K242" s="147">
        <f>ROUND(VLOOKUP(A242,'Contribution Allocation_Report'!$A$9:$D$314,4,FALSE)*$K$321,0)</f>
        <v>814789</v>
      </c>
      <c r="L242" s="147">
        <f>INDEX('Change in Proportion Layers'!$AF$8:$AF$320,MATCH('OPEB Amounts_Report'!A242,'Change in Proportion Layers'!$A$8:$A$320,0))</f>
        <v>394999</v>
      </c>
      <c r="M242" s="147">
        <f t="shared" si="17"/>
        <v>1540075</v>
      </c>
      <c r="N242" s="221"/>
      <c r="O242" s="221">
        <f>ROUND(VLOOKUP(A242,'Contribution Allocation_Report'!$A$9:$D$314,4,FALSE)*'OPEB Amounts_Report'!$O$321,0)</f>
        <v>-302102</v>
      </c>
      <c r="P242" s="221">
        <f>INDEX('Change in Proportion Layers'!$AC$8:$AC$320,MATCH('OPEB Amounts_Report'!A242,'Change in Proportion Layers'!$A$8:$A$320,0))</f>
        <v>78766</v>
      </c>
      <c r="Q242" s="221">
        <f t="shared" si="18"/>
        <v>-223336</v>
      </c>
    </row>
    <row r="243" spans="1:17" ht="12" customHeight="1">
      <c r="A243" s="53">
        <v>14366</v>
      </c>
      <c r="B243" s="54" t="s">
        <v>226</v>
      </c>
      <c r="C243" s="148">
        <f>ROUND(VLOOKUP(A243,'Contribution Allocation_Report'!$A$9:$D$314,4,FALSE)*'OPEB Amounts_Report'!$C$321,0)</f>
        <v>1179123</v>
      </c>
      <c r="D243" s="148">
        <f>ROUND(VLOOKUP(A243,'Contribution Allocation_Report'!$A$9:$D$314,4,FALSE)*'OPEB Amounts_Report'!$D$321,0)</f>
        <v>7171</v>
      </c>
      <c r="E243" s="148">
        <f>ROUND(VLOOKUP(A243,'Contribution Allocation_Report'!$A$9:$D$314,4,FALSE)*'OPEB Amounts_Report'!$E$321,0)</f>
        <v>169675</v>
      </c>
      <c r="F243" s="148">
        <f>INDEX('Change in Proportion Layers'!$AE$8:$AE$320,MATCH('OPEB Amounts_Report'!A243,'Change in Proportion Layers'!$A$8:$A$320,0))</f>
        <v>424053</v>
      </c>
      <c r="G243" s="148">
        <f t="shared" si="16"/>
        <v>600899</v>
      </c>
      <c r="H243" s="148"/>
      <c r="I243" s="148">
        <f>ROUND(VLOOKUP(A243,'Contribution Allocation_Report'!$A$9:$D$314,4,FALSE)*'OPEB Amounts_Report'!$I$321,0)</f>
        <v>202603</v>
      </c>
      <c r="J243" s="148">
        <f>ROUND(VLOOKUP(A243,'Contribution Allocation_Report'!$A$9:$D$314,4,FALSE)*'OPEB Amounts_Report'!$J$321,0)</f>
        <v>17839</v>
      </c>
      <c r="K243" s="148">
        <f>ROUND(VLOOKUP(A243,'Contribution Allocation_Report'!$A$9:$D$314,4,FALSE)*$K$321,0)</f>
        <v>543810</v>
      </c>
      <c r="L243" s="148">
        <f>INDEX('Change in Proportion Layers'!$AF$8:$AF$320,MATCH('OPEB Amounts_Report'!A243,'Change in Proportion Layers'!$A$8:$A$320,0))</f>
        <v>145113</v>
      </c>
      <c r="M243" s="148">
        <f t="shared" si="17"/>
        <v>909365</v>
      </c>
      <c r="N243" s="220"/>
      <c r="O243" s="220">
        <f>ROUND(VLOOKUP(A243,'Contribution Allocation_Report'!$A$9:$D$314,4,FALSE)*'OPEB Amounts_Report'!$O$321,0)</f>
        <v>-201630</v>
      </c>
      <c r="P243" s="220">
        <f>INDEX('Change in Proportion Layers'!$AC$8:$AC$320,MATCH('OPEB Amounts_Report'!A243,'Change in Proportion Layers'!$A$8:$A$320,0))</f>
        <v>167372</v>
      </c>
      <c r="Q243" s="220">
        <f t="shared" si="18"/>
        <v>-34258</v>
      </c>
    </row>
    <row r="244" spans="1:17" ht="12" customHeight="1">
      <c r="A244" s="51">
        <v>4317</v>
      </c>
      <c r="B244" s="55" t="s">
        <v>227</v>
      </c>
      <c r="C244" s="147">
        <f>ROUND(VLOOKUP(A244,'Contribution Allocation_Report'!$A$9:$D$314,4,FALSE)*'OPEB Amounts_Report'!$C$321,0)</f>
        <v>337706</v>
      </c>
      <c r="D244" s="147">
        <f>ROUND(VLOOKUP(A244,'Contribution Allocation_Report'!$A$9:$D$314,4,FALSE)*'OPEB Amounts_Report'!$D$321,0)</f>
        <v>2054</v>
      </c>
      <c r="E244" s="147">
        <f>ROUND(VLOOKUP(A244,'Contribution Allocation_Report'!$A$9:$D$314,4,FALSE)*'OPEB Amounts_Report'!$E$321,0)</f>
        <v>48596</v>
      </c>
      <c r="F244" s="147">
        <f>INDEX('Change in Proportion Layers'!$AE$8:$AE$320,MATCH('OPEB Amounts_Report'!A244,'Change in Proportion Layers'!$A$8:$A$320,0))</f>
        <v>138835</v>
      </c>
      <c r="G244" s="147">
        <f t="shared" si="16"/>
        <v>189485</v>
      </c>
      <c r="H244" s="147"/>
      <c r="I244" s="147">
        <f>ROUND(VLOOKUP(A244,'Contribution Allocation_Report'!$A$9:$D$314,4,FALSE)*'OPEB Amounts_Report'!$I$321,0)</f>
        <v>58026</v>
      </c>
      <c r="J244" s="147">
        <f>ROUND(VLOOKUP(A244,'Contribution Allocation_Report'!$A$9:$D$314,4,FALSE)*'OPEB Amounts_Report'!$J$321,0)</f>
        <v>5109</v>
      </c>
      <c r="K244" s="147">
        <f>ROUND(VLOOKUP(A244,'Contribution Allocation_Report'!$A$9:$D$314,4,FALSE)*$K$321,0)</f>
        <v>155750</v>
      </c>
      <c r="L244" s="147">
        <f>INDEX('Change in Proportion Layers'!$AF$8:$AF$320,MATCH('OPEB Amounts_Report'!A244,'Change in Proportion Layers'!$A$8:$A$320,0))</f>
        <v>37426</v>
      </c>
      <c r="M244" s="147">
        <f t="shared" si="17"/>
        <v>256311</v>
      </c>
      <c r="N244" s="221"/>
      <c r="O244" s="221">
        <f>ROUND(VLOOKUP(A244,'Contribution Allocation_Report'!$A$9:$D$314,4,FALSE)*'OPEB Amounts_Report'!$O$321,0)</f>
        <v>-57748</v>
      </c>
      <c r="P244" s="221">
        <f>INDEX('Change in Proportion Layers'!$AC$8:$AC$320,MATCH('OPEB Amounts_Report'!A244,'Change in Proportion Layers'!$A$8:$A$320,0))</f>
        <v>110817</v>
      </c>
      <c r="Q244" s="221">
        <f t="shared" si="18"/>
        <v>53069</v>
      </c>
    </row>
    <row r="245" spans="1:17" ht="12" customHeight="1">
      <c r="A245" s="53">
        <v>2433</v>
      </c>
      <c r="B245" s="54" t="s">
        <v>228</v>
      </c>
      <c r="C245" s="148">
        <f>ROUND(VLOOKUP(A245,'Contribution Allocation_Report'!$A$9:$D$314,4,FALSE)*'OPEB Amounts_Report'!$C$321,0)</f>
        <v>866728</v>
      </c>
      <c r="D245" s="148">
        <f>ROUND(VLOOKUP(A245,'Contribution Allocation_Report'!$A$9:$D$314,4,FALSE)*'OPEB Amounts_Report'!$D$321,0)</f>
        <v>5271</v>
      </c>
      <c r="E245" s="148">
        <f>ROUND(VLOOKUP(A245,'Contribution Allocation_Report'!$A$9:$D$314,4,FALSE)*'OPEB Amounts_Report'!$E$321,0)</f>
        <v>124721</v>
      </c>
      <c r="F245" s="148">
        <f>INDEX('Change in Proportion Layers'!$AE$8:$AE$320,MATCH('OPEB Amounts_Report'!A245,'Change in Proportion Layers'!$A$8:$A$320,0))</f>
        <v>660475</v>
      </c>
      <c r="G245" s="148">
        <f t="shared" si="16"/>
        <v>790467</v>
      </c>
      <c r="H245" s="148"/>
      <c r="I245" s="148">
        <f>ROUND(VLOOKUP(A245,'Contribution Allocation_Report'!$A$9:$D$314,4,FALSE)*'OPEB Amounts_Report'!$I$321,0)</f>
        <v>148926</v>
      </c>
      <c r="J245" s="148">
        <f>ROUND(VLOOKUP(A245,'Contribution Allocation_Report'!$A$9:$D$314,4,FALSE)*'OPEB Amounts_Report'!$J$321,0)</f>
        <v>13113</v>
      </c>
      <c r="K245" s="148">
        <f>ROUND(VLOOKUP(A245,'Contribution Allocation_Report'!$A$9:$D$314,4,FALSE)*$K$321,0)</f>
        <v>399734</v>
      </c>
      <c r="L245" s="148">
        <f>INDEX('Change in Proportion Layers'!$AF$8:$AF$320,MATCH('OPEB Amounts_Report'!A245,'Change in Proportion Layers'!$A$8:$A$320,0))</f>
        <v>0</v>
      </c>
      <c r="M245" s="148">
        <f t="shared" si="17"/>
        <v>561773</v>
      </c>
      <c r="N245" s="220"/>
      <c r="O245" s="220">
        <f>ROUND(VLOOKUP(A245,'Contribution Allocation_Report'!$A$9:$D$314,4,FALSE)*'OPEB Amounts_Report'!$O$321,0)</f>
        <v>-148211</v>
      </c>
      <c r="P245" s="220">
        <f>INDEX('Change in Proportion Layers'!$AC$8:$AC$320,MATCH('OPEB Amounts_Report'!A245,'Change in Proportion Layers'!$A$8:$A$320,0))</f>
        <v>234847</v>
      </c>
      <c r="Q245" s="220">
        <f t="shared" si="18"/>
        <v>86636</v>
      </c>
    </row>
    <row r="246" spans="1:17" ht="12" customHeight="1">
      <c r="A246" s="51">
        <v>3300</v>
      </c>
      <c r="B246" s="55" t="s">
        <v>414</v>
      </c>
      <c r="C246" s="147">
        <f>ROUND(VLOOKUP(A246,'Contribution Allocation_Report'!$A$9:$D$314,4,FALSE)*'OPEB Amounts_Report'!$C$321,0)</f>
        <v>1055256</v>
      </c>
      <c r="D246" s="147">
        <f>ROUND(VLOOKUP(A246,'Contribution Allocation_Report'!$A$9:$D$314,4,FALSE)*'OPEB Amounts_Report'!$D$321,0)</f>
        <v>6418</v>
      </c>
      <c r="E246" s="147">
        <f>ROUND(VLOOKUP(A246,'Contribution Allocation_Report'!$A$9:$D$314,4,FALSE)*'OPEB Amounts_Report'!$E$321,0)</f>
        <v>151850</v>
      </c>
      <c r="F246" s="147">
        <f>INDEX('Change in Proportion Layers'!$AE$8:$AE$320,MATCH('OPEB Amounts_Report'!A246,'Change in Proportion Layers'!$A$8:$A$320,0))</f>
        <v>233473</v>
      </c>
      <c r="G246" s="147">
        <f t="shared" si="16"/>
        <v>391741</v>
      </c>
      <c r="H246" s="147"/>
      <c r="I246" s="147">
        <f>ROUND(VLOOKUP(A246,'Contribution Allocation_Report'!$A$9:$D$314,4,FALSE)*'OPEB Amounts_Report'!$I$321,0)</f>
        <v>181319</v>
      </c>
      <c r="J246" s="147">
        <f>ROUND(VLOOKUP(A246,'Contribution Allocation_Report'!$A$9:$D$314,4,FALSE)*'OPEB Amounts_Report'!$J$321,0)</f>
        <v>15965</v>
      </c>
      <c r="K246" s="147">
        <f>ROUND(VLOOKUP(A246,'Contribution Allocation_Report'!$A$9:$D$314,4,FALSE)*$K$321,0)</f>
        <v>486683</v>
      </c>
      <c r="L246" s="147">
        <f>INDEX('Change in Proportion Layers'!$AF$8:$AF$320,MATCH('OPEB Amounts_Report'!A246,'Change in Proportion Layers'!$A$8:$A$320,0))</f>
        <v>100709</v>
      </c>
      <c r="M246" s="147">
        <f t="shared" si="17"/>
        <v>784676</v>
      </c>
      <c r="N246" s="221"/>
      <c r="O246" s="221">
        <f>ROUND(VLOOKUP(A246,'Contribution Allocation_Report'!$A$9:$D$314,4,FALSE)*'OPEB Amounts_Report'!$O$321,0)</f>
        <v>-180449</v>
      </c>
      <c r="P246" s="221">
        <f>INDEX('Change in Proportion Layers'!$AC$8:$AC$320,MATCH('OPEB Amounts_Report'!A246,'Change in Proportion Layers'!$A$8:$A$320,0))</f>
        <v>-17787</v>
      </c>
      <c r="Q246" s="221">
        <f t="shared" si="18"/>
        <v>-198236</v>
      </c>
    </row>
    <row r="247" spans="1:17" ht="12" customHeight="1">
      <c r="A247" s="53">
        <v>8026</v>
      </c>
      <c r="B247" s="54" t="s">
        <v>230</v>
      </c>
      <c r="C247" s="148">
        <f>ROUND(VLOOKUP(A247,'Contribution Allocation_Report'!$A$9:$D$314,4,FALSE)*'OPEB Amounts_Report'!$C$321,0)</f>
        <v>4987646</v>
      </c>
      <c r="D247" s="148">
        <f>ROUND(VLOOKUP(A247,'Contribution Allocation_Report'!$A$9:$D$314,4,FALSE)*'OPEB Amounts_Report'!$D$321,0)</f>
        <v>30334</v>
      </c>
      <c r="E247" s="148">
        <f>ROUND(VLOOKUP(A247,'Contribution Allocation_Report'!$A$9:$D$314,4,FALSE)*'OPEB Amounts_Report'!$E$321,0)</f>
        <v>717718</v>
      </c>
      <c r="F247" s="148">
        <f>INDEX('Change in Proportion Layers'!$AE$8:$AE$320,MATCH('OPEB Amounts_Report'!A247,'Change in Proportion Layers'!$A$8:$A$320,0))</f>
        <v>17114</v>
      </c>
      <c r="G247" s="148">
        <f t="shared" si="16"/>
        <v>765166</v>
      </c>
      <c r="H247" s="148"/>
      <c r="I247" s="148">
        <f>ROUND(VLOOKUP(A247,'Contribution Allocation_Report'!$A$9:$D$314,4,FALSE)*'OPEB Amounts_Report'!$I$321,0)</f>
        <v>857003</v>
      </c>
      <c r="J247" s="148">
        <f>ROUND(VLOOKUP(A247,'Contribution Allocation_Report'!$A$9:$D$314,4,FALSE)*'OPEB Amounts_Report'!$J$321,0)</f>
        <v>75459</v>
      </c>
      <c r="K247" s="148">
        <f>ROUND(VLOOKUP(A247,'Contribution Allocation_Report'!$A$9:$D$314,4,FALSE)*$K$321,0)</f>
        <v>2300297</v>
      </c>
      <c r="L247" s="148">
        <f>INDEX('Change in Proportion Layers'!$AF$8:$AF$320,MATCH('OPEB Amounts_Report'!A247,'Change in Proportion Layers'!$A$8:$A$320,0))</f>
        <v>548671</v>
      </c>
      <c r="M247" s="148">
        <f t="shared" si="17"/>
        <v>3781430</v>
      </c>
      <c r="N247" s="220"/>
      <c r="O247" s="220">
        <f>ROUND(VLOOKUP(A247,'Contribution Allocation_Report'!$A$9:$D$314,4,FALSE)*'OPEB Amounts_Report'!$O$321,0)</f>
        <v>-852888</v>
      </c>
      <c r="P247" s="220">
        <f>INDEX('Change in Proportion Layers'!$AC$8:$AC$320,MATCH('OPEB Amounts_Report'!A247,'Change in Proportion Layers'!$A$8:$A$320,0))</f>
        <v>-345421</v>
      </c>
      <c r="Q247" s="220">
        <f t="shared" si="18"/>
        <v>-1198309</v>
      </c>
    </row>
    <row r="248" spans="1:17" ht="12" customHeight="1">
      <c r="A248" s="51">
        <v>13438</v>
      </c>
      <c r="B248" s="55" t="s">
        <v>231</v>
      </c>
      <c r="C248" s="147">
        <f>ROUND(VLOOKUP(A248,'Contribution Allocation_Report'!$A$9:$D$314,4,FALSE)*'OPEB Amounts_Report'!$C$321,0)</f>
        <v>157190</v>
      </c>
      <c r="D248" s="147">
        <f>ROUND(VLOOKUP(A248,'Contribution Allocation_Report'!$A$9:$D$314,4,FALSE)*'OPEB Amounts_Report'!$D$321,0)</f>
        <v>956</v>
      </c>
      <c r="E248" s="147">
        <f>ROUND(VLOOKUP(A248,'Contribution Allocation_Report'!$A$9:$D$314,4,FALSE)*'OPEB Amounts_Report'!$E$321,0)</f>
        <v>22620</v>
      </c>
      <c r="F248" s="147">
        <f>INDEX('Change in Proportion Layers'!$AE$8:$AE$320,MATCH('OPEB Amounts_Report'!A248,'Change in Proportion Layers'!$A$8:$A$320,0))</f>
        <v>40429</v>
      </c>
      <c r="G248" s="147">
        <f t="shared" si="16"/>
        <v>64005</v>
      </c>
      <c r="H248" s="147"/>
      <c r="I248" s="147">
        <f>ROUND(VLOOKUP(A248,'Contribution Allocation_Report'!$A$9:$D$314,4,FALSE)*'OPEB Amounts_Report'!$I$321,0)</f>
        <v>27009</v>
      </c>
      <c r="J248" s="147">
        <f>ROUND(VLOOKUP(A248,'Contribution Allocation_Report'!$A$9:$D$314,4,FALSE)*'OPEB Amounts_Report'!$J$321,0)</f>
        <v>2378</v>
      </c>
      <c r="K248" s="147">
        <f>ROUND(VLOOKUP(A248,'Contribution Allocation_Report'!$A$9:$D$314,4,FALSE)*$K$321,0)</f>
        <v>72496</v>
      </c>
      <c r="L248" s="147">
        <f>INDEX('Change in Proportion Layers'!$AF$8:$AF$320,MATCH('OPEB Amounts_Report'!A248,'Change in Proportion Layers'!$A$8:$A$320,0))</f>
        <v>69876</v>
      </c>
      <c r="M248" s="147">
        <f t="shared" si="17"/>
        <v>171759</v>
      </c>
      <c r="N248" s="221"/>
      <c r="O248" s="221">
        <f>ROUND(VLOOKUP(A248,'Contribution Allocation_Report'!$A$9:$D$314,4,FALSE)*'OPEB Amounts_Report'!$O$321,0)</f>
        <v>-26880</v>
      </c>
      <c r="P248" s="221">
        <f>INDEX('Change in Proportion Layers'!$AC$8:$AC$320,MATCH('OPEB Amounts_Report'!A248,'Change in Proportion Layers'!$A$8:$A$320,0))</f>
        <v>-14239</v>
      </c>
      <c r="Q248" s="221">
        <f t="shared" si="18"/>
        <v>-41119</v>
      </c>
    </row>
    <row r="249" spans="1:17" ht="12" customHeight="1">
      <c r="A249" s="53">
        <v>25076</v>
      </c>
      <c r="B249" s="54" t="s">
        <v>232</v>
      </c>
      <c r="C249" s="148">
        <f>ROUND(VLOOKUP(A249,'Contribution Allocation_Report'!$A$9:$D$314,4,FALSE)*'OPEB Amounts_Report'!$C$321,0)</f>
        <v>2893927</v>
      </c>
      <c r="D249" s="148">
        <f>ROUND(VLOOKUP(A249,'Contribution Allocation_Report'!$A$9:$D$314,4,FALSE)*'OPEB Amounts_Report'!$D$321,0)</f>
        <v>17600</v>
      </c>
      <c r="E249" s="148">
        <f>ROUND(VLOOKUP(A249,'Contribution Allocation_Report'!$A$9:$D$314,4,FALSE)*'OPEB Amounts_Report'!$E$321,0)</f>
        <v>416434</v>
      </c>
      <c r="F249" s="148">
        <f>INDEX('Change in Proportion Layers'!$AE$8:$AE$320,MATCH('OPEB Amounts_Report'!A249,'Change in Proportion Layers'!$A$8:$A$320,0))</f>
        <v>230898</v>
      </c>
      <c r="G249" s="148">
        <f t="shared" si="16"/>
        <v>664932</v>
      </c>
      <c r="H249" s="148"/>
      <c r="I249" s="148">
        <f>ROUND(VLOOKUP(A249,'Contribution Allocation_Report'!$A$9:$D$314,4,FALSE)*'OPEB Amounts_Report'!$I$321,0)</f>
        <v>497249</v>
      </c>
      <c r="J249" s="148">
        <f>ROUND(VLOOKUP(A249,'Contribution Allocation_Report'!$A$9:$D$314,4,FALSE)*'OPEB Amounts_Report'!$J$321,0)</f>
        <v>43782</v>
      </c>
      <c r="K249" s="148">
        <f>ROUND(VLOOKUP(A249,'Contribution Allocation_Report'!$A$9:$D$314,4,FALSE)*$K$321,0)</f>
        <v>1334676</v>
      </c>
      <c r="L249" s="148">
        <f>INDEX('Change in Proportion Layers'!$AF$8:$AF$320,MATCH('OPEB Amounts_Report'!A249,'Change in Proportion Layers'!$A$8:$A$320,0))</f>
        <v>745843</v>
      </c>
      <c r="M249" s="148">
        <f t="shared" si="17"/>
        <v>2621550</v>
      </c>
      <c r="N249" s="220"/>
      <c r="O249" s="220">
        <f>ROUND(VLOOKUP(A249,'Contribution Allocation_Report'!$A$9:$D$314,4,FALSE)*'OPEB Amounts_Report'!$O$321,0)</f>
        <v>-494862</v>
      </c>
      <c r="P249" s="220">
        <f>INDEX('Change in Proportion Layers'!$AC$8:$AC$320,MATCH('OPEB Amounts_Report'!A249,'Change in Proportion Layers'!$A$8:$A$320,0))</f>
        <v>-148776</v>
      </c>
      <c r="Q249" s="220">
        <f t="shared" si="18"/>
        <v>-643638</v>
      </c>
    </row>
    <row r="250" spans="1:17" ht="12" customHeight="1">
      <c r="A250" s="51">
        <v>2440</v>
      </c>
      <c r="B250" s="55" t="s">
        <v>396</v>
      </c>
      <c r="C250" s="147">
        <f>ROUND(VLOOKUP(A250,'Contribution Allocation_Report'!$A$9:$D$314,4,FALSE)*'OPEB Amounts_Report'!$C$321,0)</f>
        <v>664886</v>
      </c>
      <c r="D250" s="147">
        <f>ROUND(VLOOKUP(A250,'Contribution Allocation_Report'!$A$9:$D$314,4,FALSE)*'OPEB Amounts_Report'!$D$321,0)</f>
        <v>4044</v>
      </c>
      <c r="E250" s="147">
        <f>ROUND(VLOOKUP(A250,'Contribution Allocation_Report'!$A$9:$D$314,4,FALSE)*'OPEB Amounts_Report'!$E$321,0)</f>
        <v>95676</v>
      </c>
      <c r="F250" s="147">
        <f>INDEX('Change in Proportion Layers'!$AE$8:$AE$320,MATCH('OPEB Amounts_Report'!A250,'Change in Proportion Layers'!$A$8:$A$320,0))</f>
        <v>576832</v>
      </c>
      <c r="G250" s="147">
        <f t="shared" si="16"/>
        <v>676552</v>
      </c>
      <c r="H250" s="147"/>
      <c r="I250" s="147">
        <f>ROUND(VLOOKUP(A250,'Contribution Allocation_Report'!$A$9:$D$314,4,FALSE)*'OPEB Amounts_Report'!$I$321,0)</f>
        <v>114244</v>
      </c>
      <c r="J250" s="147">
        <f>ROUND(VLOOKUP(A250,'Contribution Allocation_Report'!$A$9:$D$314,4,FALSE)*'OPEB Amounts_Report'!$J$321,0)</f>
        <v>10059</v>
      </c>
      <c r="K250" s="147">
        <f>ROUND(VLOOKUP(A250,'Contribution Allocation_Report'!$A$9:$D$314,4,FALSE)*$K$321,0)</f>
        <v>306644</v>
      </c>
      <c r="L250" s="147">
        <f>INDEX('Change in Proportion Layers'!$AF$8:$AF$320,MATCH('OPEB Amounts_Report'!A250,'Change in Proportion Layers'!$A$8:$A$320,0))</f>
        <v>122162</v>
      </c>
      <c r="M250" s="147">
        <f t="shared" si="17"/>
        <v>553109</v>
      </c>
      <c r="N250" s="221"/>
      <c r="O250" s="221">
        <f>ROUND(VLOOKUP(A250,'Contribution Allocation_Report'!$A$9:$D$314,4,FALSE)*'OPEB Amounts_Report'!$O$321,0)</f>
        <v>-113696</v>
      </c>
      <c r="P250" s="221">
        <f>INDEX('Change in Proportion Layers'!$AC$8:$AC$320,MATCH('OPEB Amounts_Report'!A250,'Change in Proportion Layers'!$A$8:$A$320,0))</f>
        <v>311859</v>
      </c>
      <c r="Q250" s="221">
        <f t="shared" si="18"/>
        <v>198163</v>
      </c>
    </row>
    <row r="251" spans="1:17" ht="12" customHeight="1">
      <c r="A251" s="53">
        <v>2309</v>
      </c>
      <c r="B251" s="54" t="s">
        <v>233</v>
      </c>
      <c r="C251" s="148">
        <f>ROUND(VLOOKUP(A251,'Contribution Allocation_Report'!$A$9:$D$314,4,FALSE)*'OPEB Amounts_Report'!$C$321,0)</f>
        <v>1298526</v>
      </c>
      <c r="D251" s="148">
        <f>ROUND(VLOOKUP(A251,'Contribution Allocation_Report'!$A$9:$D$314,4,FALSE)*'OPEB Amounts_Report'!$D$321,0)</f>
        <v>7897</v>
      </c>
      <c r="E251" s="148">
        <f>ROUND(VLOOKUP(A251,'Contribution Allocation_Report'!$A$9:$D$314,4,FALSE)*'OPEB Amounts_Report'!$E$321,0)</f>
        <v>186857</v>
      </c>
      <c r="F251" s="148">
        <f>INDEX('Change in Proportion Layers'!$AE$8:$AE$320,MATCH('OPEB Amounts_Report'!A251,'Change in Proportion Layers'!$A$8:$A$320,0))</f>
        <v>167445</v>
      </c>
      <c r="G251" s="148">
        <f t="shared" si="16"/>
        <v>362199</v>
      </c>
      <c r="H251" s="148"/>
      <c r="I251" s="148">
        <f>ROUND(VLOOKUP(A251,'Contribution Allocation_Report'!$A$9:$D$314,4,FALSE)*'OPEB Amounts_Report'!$I$321,0)</f>
        <v>223119</v>
      </c>
      <c r="J251" s="148">
        <f>ROUND(VLOOKUP(A251,'Contribution Allocation_Report'!$A$9:$D$314,4,FALSE)*'OPEB Amounts_Report'!$J$321,0)</f>
        <v>19646</v>
      </c>
      <c r="K251" s="148">
        <f>ROUND(VLOOKUP(A251,'Contribution Allocation_Report'!$A$9:$D$314,4,FALSE)*$K$321,0)</f>
        <v>598879</v>
      </c>
      <c r="L251" s="148">
        <f>INDEX('Change in Proportion Layers'!$AF$8:$AF$320,MATCH('OPEB Amounts_Report'!A251,'Change in Proportion Layers'!$A$8:$A$320,0))</f>
        <v>213618</v>
      </c>
      <c r="M251" s="148">
        <f t="shared" si="17"/>
        <v>1055262</v>
      </c>
      <c r="N251" s="220"/>
      <c r="O251" s="220">
        <f>ROUND(VLOOKUP(A251,'Contribution Allocation_Report'!$A$9:$D$314,4,FALSE)*'OPEB Amounts_Report'!$O$321,0)</f>
        <v>-222048</v>
      </c>
      <c r="P251" s="220">
        <f>INDEX('Change in Proportion Layers'!$AC$8:$AC$320,MATCH('OPEB Amounts_Report'!A251,'Change in Proportion Layers'!$A$8:$A$320,0))</f>
        <v>52673</v>
      </c>
      <c r="Q251" s="220">
        <f t="shared" si="18"/>
        <v>-169375</v>
      </c>
    </row>
    <row r="252" spans="1:17" ht="12" customHeight="1">
      <c r="A252" s="51">
        <v>2396</v>
      </c>
      <c r="B252" s="52" t="s">
        <v>234</v>
      </c>
      <c r="C252" s="115">
        <f>ROUND(VLOOKUP(A252,'Contribution Allocation_Report'!$A$9:$D$314,4,FALSE)*'OPEB Amounts_Report'!$C$321,0)</f>
        <v>237312</v>
      </c>
      <c r="D252" s="115">
        <f>ROUND(VLOOKUP(A252,'Contribution Allocation_Report'!$A$9:$D$314,4,FALSE)*'OPEB Amounts_Report'!$D$321,0)</f>
        <v>1443</v>
      </c>
      <c r="E252" s="115">
        <f>ROUND(VLOOKUP(A252,'Contribution Allocation_Report'!$A$9:$D$314,4,FALSE)*'OPEB Amounts_Report'!$E$321,0)</f>
        <v>34149</v>
      </c>
      <c r="F252" s="115">
        <f>INDEX('Change in Proportion Layers'!$AE$8:$AE$320,MATCH('OPEB Amounts_Report'!A252,'Change in Proportion Layers'!$A$8:$A$320,0))</f>
        <v>61129</v>
      </c>
      <c r="G252" s="115">
        <f t="shared" si="16"/>
        <v>96721</v>
      </c>
      <c r="H252" s="115"/>
      <c r="I252" s="115">
        <f>ROUND(VLOOKUP(A252,'Contribution Allocation_Report'!$A$9:$D$314,4,FALSE)*'OPEB Amounts_Report'!$I$321,0)</f>
        <v>40776</v>
      </c>
      <c r="J252" s="115">
        <f>ROUND(VLOOKUP(A252,'Contribution Allocation_Report'!$A$9:$D$314,4,FALSE)*'OPEB Amounts_Report'!$J$321,0)</f>
        <v>3590</v>
      </c>
      <c r="K252" s="115">
        <f>ROUND(VLOOKUP(A252,'Contribution Allocation_Report'!$A$9:$D$314,4,FALSE)*$K$321,0)</f>
        <v>109448</v>
      </c>
      <c r="L252" s="117">
        <f>INDEX('Change in Proportion Layers'!$AF$8:$AF$320,MATCH('OPEB Amounts_Report'!A252,'Change in Proportion Layers'!$A$8:$A$320,0))</f>
        <v>246478</v>
      </c>
      <c r="M252" s="115">
        <f t="shared" si="17"/>
        <v>400292</v>
      </c>
      <c r="N252" s="116"/>
      <c r="O252" s="116">
        <f>ROUND(VLOOKUP(A252,'Contribution Allocation_Report'!$A$9:$D$314,4,FALSE)*'OPEB Amounts_Report'!$O$321,0)</f>
        <v>-40580</v>
      </c>
      <c r="P252" s="116">
        <f>INDEX('Change in Proportion Layers'!$AC$8:$AC$320,MATCH('OPEB Amounts_Report'!A252,'Change in Proportion Layers'!$A$8:$A$320,0))</f>
        <v>2776</v>
      </c>
      <c r="Q252" s="116">
        <f t="shared" si="18"/>
        <v>-37804</v>
      </c>
    </row>
    <row r="253" spans="1:17" ht="12" customHeight="1">
      <c r="A253" s="53" t="s">
        <v>721</v>
      </c>
      <c r="B253" s="54" t="s">
        <v>455</v>
      </c>
      <c r="C253" s="148">
        <f>ROUND(VLOOKUP(A253,'Contribution Allocation_Report'!$A$9:$D$314,4,FALSE)*'OPEB Amounts_Report'!$C$321,0)</f>
        <v>2800731</v>
      </c>
      <c r="D253" s="148">
        <f>ROUND(VLOOKUP(A253,'Contribution Allocation_Report'!$A$9:$D$314,4,FALSE)*'OPEB Amounts_Report'!$D$321,0)</f>
        <v>17033</v>
      </c>
      <c r="E253" s="148">
        <f>ROUND(VLOOKUP(A253,'Contribution Allocation_Report'!$A$9:$D$314,4,FALSE)*'OPEB Amounts_Report'!$E$321,0)</f>
        <v>403023</v>
      </c>
      <c r="F253" s="148">
        <f>INDEX('Change in Proportion Layers'!$AE$8:$AE$320,MATCH('OPEB Amounts_Report'!A253,'Change in Proportion Layers'!$A$8:$A$320,0))</f>
        <v>3860685</v>
      </c>
      <c r="G253" s="148">
        <f t="shared" si="16"/>
        <v>4280741</v>
      </c>
      <c r="H253" s="148"/>
      <c r="I253" s="148">
        <f>ROUND(VLOOKUP(A253,'Contribution Allocation_Report'!$A$9:$D$314,4,FALSE)*'OPEB Amounts_Report'!$I$321,0)</f>
        <v>481236</v>
      </c>
      <c r="J253" s="148">
        <f>ROUND(VLOOKUP(A253,'Contribution Allocation_Report'!$A$9:$D$314,4,FALSE)*'OPEB Amounts_Report'!$J$321,0)</f>
        <v>42372</v>
      </c>
      <c r="K253" s="148">
        <f>ROUND(VLOOKUP(A253,'Contribution Allocation_Report'!$A$9:$D$314,4,FALSE)*$K$321,0)</f>
        <v>1291694</v>
      </c>
      <c r="L253" s="148">
        <f>INDEX('Change in Proportion Layers'!$AF$8:$AF$320,MATCH('OPEB Amounts_Report'!A253,'Change in Proportion Layers'!$A$8:$A$320,0))</f>
        <v>0</v>
      </c>
      <c r="M253" s="148">
        <f t="shared" ref="M253" si="19">SUM(I253:L253)</f>
        <v>1815302</v>
      </c>
      <c r="N253" s="220"/>
      <c r="O253" s="220">
        <f>ROUND(VLOOKUP(A253,'Contribution Allocation_Report'!$A$9:$D$314,4,FALSE)*'OPEB Amounts_Report'!$O$321,0)</f>
        <v>-478925</v>
      </c>
      <c r="P253" s="220">
        <f>INDEX('Change in Proportion Layers'!$AC$8:$AC$320,MATCH('OPEB Amounts_Report'!A253,'Change in Proportion Layers'!$A$8:$A$320,0))</f>
        <v>969542</v>
      </c>
      <c r="Q253" s="220">
        <f t="shared" ref="Q253" si="20">+O253+P253</f>
        <v>490617</v>
      </c>
    </row>
    <row r="254" spans="1:17" ht="12" customHeight="1">
      <c r="A254" s="51">
        <v>3380</v>
      </c>
      <c r="B254" s="55" t="s">
        <v>235</v>
      </c>
      <c r="C254" s="147">
        <f>ROUND(VLOOKUP(A254,'Contribution Allocation_Report'!$A$9:$D$314,4,FALSE)*'OPEB Amounts_Report'!$C$321,0)</f>
        <v>251098</v>
      </c>
      <c r="D254" s="147">
        <f>ROUND(VLOOKUP(A254,'Contribution Allocation_Report'!$A$9:$D$314,4,FALSE)*'OPEB Amounts_Report'!$D$321,0)</f>
        <v>1527</v>
      </c>
      <c r="E254" s="147">
        <f>ROUND(VLOOKUP(A254,'Contribution Allocation_Report'!$A$9:$D$314,4,FALSE)*'OPEB Amounts_Report'!$E$321,0)</f>
        <v>36133</v>
      </c>
      <c r="F254" s="147">
        <f>INDEX('Change in Proportion Layers'!$AE$8:$AE$320,MATCH('OPEB Amounts_Report'!A254,'Change in Proportion Layers'!$A$8:$A$320,0))</f>
        <v>20951</v>
      </c>
      <c r="G254" s="147">
        <f t="shared" si="16"/>
        <v>58611</v>
      </c>
      <c r="H254" s="147"/>
      <c r="I254" s="147">
        <f>ROUND(VLOOKUP(A254,'Contribution Allocation_Report'!$A$9:$D$314,4,FALSE)*'OPEB Amounts_Report'!$I$321,0)</f>
        <v>43145</v>
      </c>
      <c r="J254" s="147">
        <f>ROUND(VLOOKUP(A254,'Contribution Allocation_Report'!$A$9:$D$314,4,FALSE)*'OPEB Amounts_Report'!$J$321,0)</f>
        <v>3799</v>
      </c>
      <c r="K254" s="147">
        <f>ROUND(VLOOKUP(A254,'Contribution Allocation_Report'!$A$9:$D$314,4,FALSE)*$K$321,0)</f>
        <v>115806</v>
      </c>
      <c r="L254" s="147">
        <f>INDEX('Change in Proportion Layers'!$AF$8:$AF$320,MATCH('OPEB Amounts_Report'!A254,'Change in Proportion Layers'!$A$8:$A$320,0))</f>
        <v>56751</v>
      </c>
      <c r="M254" s="147">
        <f t="shared" ref="M254:M266" si="21">SUM(I254:L254)</f>
        <v>219501</v>
      </c>
      <c r="N254" s="221"/>
      <c r="O254" s="221">
        <f>ROUND(VLOOKUP(A254,'Contribution Allocation_Report'!$A$9:$D$314,4,FALSE)*'OPEB Amounts_Report'!$O$321,0)</f>
        <v>-42938</v>
      </c>
      <c r="P254" s="221">
        <f>INDEX('Change in Proportion Layers'!$AC$8:$AC$320,MATCH('OPEB Amounts_Report'!A254,'Change in Proportion Layers'!$A$8:$A$320,0))</f>
        <v>-2454</v>
      </c>
      <c r="Q254" s="221">
        <f t="shared" si="18"/>
        <v>-45392</v>
      </c>
    </row>
    <row r="255" spans="1:17" ht="12" customHeight="1">
      <c r="A255" s="53">
        <v>2420</v>
      </c>
      <c r="B255" s="54" t="s">
        <v>236</v>
      </c>
      <c r="C255" s="148">
        <f>ROUND(VLOOKUP(A255,'Contribution Allocation_Report'!$A$9:$D$314,4,FALSE)*'OPEB Amounts_Report'!$C$321,0)</f>
        <v>421799</v>
      </c>
      <c r="D255" s="148">
        <f>ROUND(VLOOKUP(A255,'Contribution Allocation_Report'!$A$9:$D$314,4,FALSE)*'OPEB Amounts_Report'!$D$321,0)</f>
        <v>2565</v>
      </c>
      <c r="E255" s="148">
        <f>ROUND(VLOOKUP(A255,'Contribution Allocation_Report'!$A$9:$D$314,4,FALSE)*'OPEB Amounts_Report'!$E$321,0)</f>
        <v>60697</v>
      </c>
      <c r="F255" s="148">
        <f>INDEX('Change in Proportion Layers'!$AE$8:$AE$320,MATCH('OPEB Amounts_Report'!A255,'Change in Proportion Layers'!$A$8:$A$320,0))</f>
        <v>69205</v>
      </c>
      <c r="G255" s="148">
        <f t="shared" si="16"/>
        <v>132467</v>
      </c>
      <c r="H255" s="148"/>
      <c r="I255" s="148">
        <f>ROUND(VLOOKUP(A255,'Contribution Allocation_Report'!$A$9:$D$314,4,FALSE)*'OPEB Amounts_Report'!$I$321,0)</f>
        <v>72476</v>
      </c>
      <c r="J255" s="148">
        <f>ROUND(VLOOKUP(A255,'Contribution Allocation_Report'!$A$9:$D$314,4,FALSE)*'OPEB Amounts_Report'!$J$321,0)</f>
        <v>6381</v>
      </c>
      <c r="K255" s="148">
        <f>ROUND(VLOOKUP(A255,'Contribution Allocation_Report'!$A$9:$D$314,4,FALSE)*$K$321,0)</f>
        <v>194533</v>
      </c>
      <c r="L255" s="148">
        <f>INDEX('Change in Proportion Layers'!$AF$8:$AF$320,MATCH('OPEB Amounts_Report'!A255,'Change in Proportion Layers'!$A$8:$A$320,0))</f>
        <v>36474</v>
      </c>
      <c r="M255" s="148">
        <f t="shared" si="21"/>
        <v>309864</v>
      </c>
      <c r="N255" s="220"/>
      <c r="O255" s="220">
        <f>ROUND(VLOOKUP(A255,'Contribution Allocation_Report'!$A$9:$D$314,4,FALSE)*'OPEB Amounts_Report'!$O$321,0)</f>
        <v>-72128</v>
      </c>
      <c r="P255" s="220">
        <f>INDEX('Change in Proportion Layers'!$AC$8:$AC$320,MATCH('OPEB Amounts_Report'!A255,'Change in Proportion Layers'!$A$8:$A$320,0))</f>
        <v>-30219</v>
      </c>
      <c r="Q255" s="220">
        <f t="shared" si="18"/>
        <v>-102347</v>
      </c>
    </row>
    <row r="256" spans="1:17" ht="12" customHeight="1">
      <c r="A256" s="51">
        <v>2740</v>
      </c>
      <c r="B256" s="55" t="s">
        <v>237</v>
      </c>
      <c r="C256" s="147">
        <f>ROUND(VLOOKUP(A256,'Contribution Allocation_Report'!$A$9:$D$314,4,FALSE)*'OPEB Amounts_Report'!$C$321,0)</f>
        <v>50920</v>
      </c>
      <c r="D256" s="147">
        <f>ROUND(VLOOKUP(A256,'Contribution Allocation_Report'!$A$9:$D$314,4,FALSE)*'OPEB Amounts_Report'!$D$321,0)</f>
        <v>310</v>
      </c>
      <c r="E256" s="147">
        <f>ROUND(VLOOKUP(A256,'Contribution Allocation_Report'!$A$9:$D$314,4,FALSE)*'OPEB Amounts_Report'!$E$321,0)</f>
        <v>7327</v>
      </c>
      <c r="F256" s="147">
        <f>INDEX('Change in Proportion Layers'!$AE$8:$AE$320,MATCH('OPEB Amounts_Report'!A256,'Change in Proportion Layers'!$A$8:$A$320,0))</f>
        <v>30664</v>
      </c>
      <c r="G256" s="147">
        <f t="shared" si="16"/>
        <v>38301</v>
      </c>
      <c r="H256" s="147"/>
      <c r="I256" s="147">
        <f>ROUND(VLOOKUP(A256,'Contribution Allocation_Report'!$A$9:$D$314,4,FALSE)*'OPEB Amounts_Report'!$I$321,0)</f>
        <v>8749</v>
      </c>
      <c r="J256" s="147">
        <f>ROUND(VLOOKUP(A256,'Contribution Allocation_Report'!$A$9:$D$314,4,FALSE)*'OPEB Amounts_Report'!$J$321,0)</f>
        <v>770</v>
      </c>
      <c r="K256" s="147">
        <f>ROUND(VLOOKUP(A256,'Contribution Allocation_Report'!$A$9:$D$314,4,FALSE)*$K$321,0)</f>
        <v>23484</v>
      </c>
      <c r="L256" s="147">
        <f>INDEX('Change in Proportion Layers'!$AF$8:$AF$320,MATCH('OPEB Amounts_Report'!A256,'Change in Proportion Layers'!$A$8:$A$320,0))</f>
        <v>48642</v>
      </c>
      <c r="M256" s="147">
        <f t="shared" si="21"/>
        <v>81645</v>
      </c>
      <c r="N256" s="221"/>
      <c r="O256" s="221">
        <f>ROUND(VLOOKUP(A256,'Contribution Allocation_Report'!$A$9:$D$314,4,FALSE)*'OPEB Amounts_Report'!$O$321,0)</f>
        <v>-8707</v>
      </c>
      <c r="P256" s="221">
        <f>INDEX('Change in Proportion Layers'!$AC$8:$AC$320,MATCH('OPEB Amounts_Report'!A256,'Change in Proportion Layers'!$A$8:$A$320,0))</f>
        <v>-3559</v>
      </c>
      <c r="Q256" s="221">
        <f t="shared" si="18"/>
        <v>-12266</v>
      </c>
    </row>
    <row r="257" spans="1:17" ht="12" customHeight="1">
      <c r="A257" s="53">
        <v>2346</v>
      </c>
      <c r="B257" s="54" t="s">
        <v>915</v>
      </c>
      <c r="C257" s="148">
        <f>ROUND(VLOOKUP(A257,'Contribution Allocation_Report'!$A$9:$D$314,4,FALSE)*'OPEB Amounts_Report'!$C$321,0)</f>
        <v>279876</v>
      </c>
      <c r="D257" s="148">
        <f>ROUND(VLOOKUP(A257,'Contribution Allocation_Report'!$A$9:$D$314,4,FALSE)*'OPEB Amounts_Report'!$D$321,0)</f>
        <v>1702</v>
      </c>
      <c r="E257" s="148">
        <f>ROUND(VLOOKUP(A257,'Contribution Allocation_Report'!$A$9:$D$314,4,FALSE)*'OPEB Amounts_Report'!$E$321,0)</f>
        <v>40274</v>
      </c>
      <c r="F257" s="148">
        <f>INDEX('Change in Proportion Layers'!$AE$8:$AE$320,MATCH('OPEB Amounts_Report'!A257,'Change in Proportion Layers'!$A$8:$A$320,0))</f>
        <v>55776</v>
      </c>
      <c r="G257" s="148">
        <f t="shared" si="16"/>
        <v>97752</v>
      </c>
      <c r="H257" s="148"/>
      <c r="I257" s="148">
        <f>ROUND(VLOOKUP(A257,'Contribution Allocation_Report'!$A$9:$D$314,4,FALSE)*'OPEB Amounts_Report'!$I$321,0)</f>
        <v>48090</v>
      </c>
      <c r="J257" s="148">
        <f>ROUND(VLOOKUP(A257,'Contribution Allocation_Report'!$A$9:$D$314,4,FALSE)*'OPEB Amounts_Report'!$J$321,0)</f>
        <v>4234</v>
      </c>
      <c r="K257" s="148">
        <f>ROUND(VLOOKUP(A257,'Contribution Allocation_Report'!$A$9:$D$314,4,FALSE)*$K$321,0)</f>
        <v>129078</v>
      </c>
      <c r="L257" s="148">
        <f>INDEX('Change in Proportion Layers'!$AF$8:$AF$320,MATCH('OPEB Amounts_Report'!A257,'Change in Proportion Layers'!$A$8:$A$320,0))</f>
        <v>86769</v>
      </c>
      <c r="M257" s="148">
        <f t="shared" si="21"/>
        <v>268171</v>
      </c>
      <c r="N257" s="220"/>
      <c r="O257" s="220">
        <f>ROUND(VLOOKUP(A257,'Contribution Allocation_Report'!$A$9:$D$314,4,FALSE)*'OPEB Amounts_Report'!$O$321,0)</f>
        <v>-47859</v>
      </c>
      <c r="P257" s="220">
        <f>INDEX('Change in Proportion Layers'!$AC$8:$AC$320,MATCH('OPEB Amounts_Report'!A257,'Change in Proportion Layers'!$A$8:$A$320,0))</f>
        <v>951</v>
      </c>
      <c r="Q257" s="220">
        <f t="shared" si="18"/>
        <v>-46908</v>
      </c>
    </row>
    <row r="258" spans="1:17" ht="12" customHeight="1">
      <c r="A258" s="51">
        <v>21150</v>
      </c>
      <c r="B258" s="55" t="s">
        <v>239</v>
      </c>
      <c r="C258" s="147">
        <f>ROUND(VLOOKUP(A258,'Contribution Allocation_Report'!$A$9:$D$314,4,FALSE)*'OPEB Amounts_Report'!$C$321,0)</f>
        <v>1006196</v>
      </c>
      <c r="D258" s="147">
        <f>ROUND(VLOOKUP(A258,'Contribution Allocation_Report'!$A$9:$D$314,4,FALSE)*'OPEB Amounts_Report'!$D$321,0)</f>
        <v>6119</v>
      </c>
      <c r="E258" s="147">
        <f>ROUND(VLOOKUP(A258,'Contribution Allocation_Report'!$A$9:$D$314,4,FALSE)*'OPEB Amounts_Report'!$E$321,0)</f>
        <v>144791</v>
      </c>
      <c r="F258" s="147">
        <f>INDEX('Change in Proportion Layers'!$AE$8:$AE$320,MATCH('OPEB Amounts_Report'!A258,'Change in Proportion Layers'!$A$8:$A$320,0))</f>
        <v>665917</v>
      </c>
      <c r="G258" s="147">
        <f t="shared" si="16"/>
        <v>816827</v>
      </c>
      <c r="H258" s="147"/>
      <c r="I258" s="147">
        <f>ROUND(VLOOKUP(A258,'Contribution Allocation_Report'!$A$9:$D$314,4,FALSE)*'OPEB Amounts_Report'!$I$321,0)</f>
        <v>172890</v>
      </c>
      <c r="J258" s="147">
        <f>ROUND(VLOOKUP(A258,'Contribution Allocation_Report'!$A$9:$D$314,4,FALSE)*'OPEB Amounts_Report'!$J$321,0)</f>
        <v>15223</v>
      </c>
      <c r="K258" s="147">
        <f>ROUND(VLOOKUP(A258,'Contribution Allocation_Report'!$A$9:$D$314,4,FALSE)*$K$321,0)</f>
        <v>464056</v>
      </c>
      <c r="L258" s="147">
        <f>INDEX('Change in Proportion Layers'!$AF$8:$AF$320,MATCH('OPEB Amounts_Report'!A258,'Change in Proportion Layers'!$A$8:$A$320,0))</f>
        <v>285114</v>
      </c>
      <c r="M258" s="147">
        <f t="shared" si="21"/>
        <v>937283</v>
      </c>
      <c r="N258" s="221"/>
      <c r="O258" s="221">
        <f>ROUND(VLOOKUP(A258,'Contribution Allocation_Report'!$A$9:$D$314,4,FALSE)*'OPEB Amounts_Report'!$O$321,0)</f>
        <v>-172060</v>
      </c>
      <c r="P258" s="221">
        <f>INDEX('Change in Proportion Layers'!$AC$8:$AC$320,MATCH('OPEB Amounts_Report'!A258,'Change in Proportion Layers'!$A$8:$A$320,0))</f>
        <v>129934</v>
      </c>
      <c r="Q258" s="221">
        <f t="shared" si="18"/>
        <v>-42126</v>
      </c>
    </row>
    <row r="259" spans="1:17" ht="12" customHeight="1">
      <c r="A259" s="53">
        <v>4520</v>
      </c>
      <c r="B259" s="54" t="s">
        <v>241</v>
      </c>
      <c r="C259" s="148">
        <f>ROUND(VLOOKUP(A259,'Contribution Allocation_Report'!$A$9:$D$314,4,FALSE)*'OPEB Amounts_Report'!$C$321,0)</f>
        <v>39533</v>
      </c>
      <c r="D259" s="148">
        <f>ROUND(VLOOKUP(A259,'Contribution Allocation_Report'!$A$9:$D$314,4,FALSE)*'OPEB Amounts_Report'!$D$321,0)</f>
        <v>240</v>
      </c>
      <c r="E259" s="148">
        <f>ROUND(VLOOKUP(A259,'Contribution Allocation_Report'!$A$9:$D$314,4,FALSE)*'OPEB Amounts_Report'!$E$321,0)</f>
        <v>5689</v>
      </c>
      <c r="F259" s="148">
        <f>INDEX('Change in Proportion Layers'!$AE$8:$AE$320,MATCH('OPEB Amounts_Report'!A259,'Change in Proportion Layers'!$A$8:$A$320,0))</f>
        <v>2687</v>
      </c>
      <c r="G259" s="148">
        <f t="shared" si="16"/>
        <v>8616</v>
      </c>
      <c r="H259" s="148"/>
      <c r="I259" s="148">
        <f>ROUND(VLOOKUP(A259,'Contribution Allocation_Report'!$A$9:$D$314,4,FALSE)*'OPEB Amounts_Report'!$I$321,0)</f>
        <v>6793</v>
      </c>
      <c r="J259" s="148">
        <f>ROUND(VLOOKUP(A259,'Contribution Allocation_Report'!$A$9:$D$314,4,FALSE)*'OPEB Amounts_Report'!$J$321,0)</f>
        <v>598</v>
      </c>
      <c r="K259" s="148">
        <f>ROUND(VLOOKUP(A259,'Contribution Allocation_Report'!$A$9:$D$314,4,FALSE)*$K$321,0)</f>
        <v>18233</v>
      </c>
      <c r="L259" s="148">
        <f>INDEX('Change in Proportion Layers'!$AF$8:$AF$320,MATCH('OPEB Amounts_Report'!A259,'Change in Proportion Layers'!$A$8:$A$320,0))</f>
        <v>11936</v>
      </c>
      <c r="M259" s="148">
        <f t="shared" si="21"/>
        <v>37560</v>
      </c>
      <c r="N259" s="220"/>
      <c r="O259" s="220">
        <f>ROUND(VLOOKUP(A259,'Contribution Allocation_Report'!$A$9:$D$314,4,FALSE)*'OPEB Amounts_Report'!$O$321,0)</f>
        <v>-6760</v>
      </c>
      <c r="P259" s="220">
        <f>INDEX('Change in Proportion Layers'!$AC$8:$AC$320,MATCH('OPEB Amounts_Report'!A259,'Change in Proportion Layers'!$A$8:$A$320,0))</f>
        <v>-1633</v>
      </c>
      <c r="Q259" s="220">
        <f t="shared" si="18"/>
        <v>-8393</v>
      </c>
    </row>
    <row r="260" spans="1:17" ht="12" customHeight="1">
      <c r="A260" s="51">
        <v>9030</v>
      </c>
      <c r="B260" s="55" t="s">
        <v>242</v>
      </c>
      <c r="C260" s="147">
        <f>ROUND(VLOOKUP(A260,'Contribution Allocation_Report'!$A$9:$D$314,4,FALSE)*'OPEB Amounts_Report'!$C$321,0)</f>
        <v>408197</v>
      </c>
      <c r="D260" s="147">
        <f>ROUND(VLOOKUP(A260,'Contribution Allocation_Report'!$A$9:$D$314,4,FALSE)*'OPEB Amounts_Report'!$D$321,0)</f>
        <v>2483</v>
      </c>
      <c r="E260" s="147">
        <f>ROUND(VLOOKUP(A260,'Contribution Allocation_Report'!$A$9:$D$314,4,FALSE)*'OPEB Amounts_Report'!$E$321,0)</f>
        <v>58739</v>
      </c>
      <c r="F260" s="147">
        <f>INDEX('Change in Proportion Layers'!$AE$8:$AE$320,MATCH('OPEB Amounts_Report'!A260,'Change in Proportion Layers'!$A$8:$A$320,0))</f>
        <v>4290</v>
      </c>
      <c r="G260" s="147">
        <f t="shared" si="16"/>
        <v>65512</v>
      </c>
      <c r="H260" s="147"/>
      <c r="I260" s="147">
        <f>ROUND(VLOOKUP(A260,'Contribution Allocation_Report'!$A$9:$D$314,4,FALSE)*'OPEB Amounts_Report'!$I$321,0)</f>
        <v>70138</v>
      </c>
      <c r="J260" s="147">
        <f>ROUND(VLOOKUP(A260,'Contribution Allocation_Report'!$A$9:$D$314,4,FALSE)*'OPEB Amounts_Report'!$J$321,0)</f>
        <v>6176</v>
      </c>
      <c r="K260" s="147">
        <f>ROUND(VLOOKUP(A260,'Contribution Allocation_Report'!$A$9:$D$314,4,FALSE)*$K$321,0)</f>
        <v>188260</v>
      </c>
      <c r="L260" s="147">
        <f>INDEX('Change in Proportion Layers'!$AF$8:$AF$320,MATCH('OPEB Amounts_Report'!A260,'Change in Proportion Layers'!$A$8:$A$320,0))</f>
        <v>62270</v>
      </c>
      <c r="M260" s="147">
        <f t="shared" si="21"/>
        <v>326844</v>
      </c>
      <c r="N260" s="221"/>
      <c r="O260" s="221">
        <f>ROUND(VLOOKUP(A260,'Contribution Allocation_Report'!$A$9:$D$314,4,FALSE)*'OPEB Amounts_Report'!$O$321,0)</f>
        <v>-69802</v>
      </c>
      <c r="P260" s="221">
        <f>INDEX('Change in Proportion Layers'!$AC$8:$AC$320,MATCH('OPEB Amounts_Report'!A260,'Change in Proportion Layers'!$A$8:$A$320,0))</f>
        <v>-18983</v>
      </c>
      <c r="Q260" s="221">
        <f t="shared" si="18"/>
        <v>-88785</v>
      </c>
    </row>
    <row r="261" spans="1:17" ht="12" customHeight="1">
      <c r="A261" s="53">
        <v>20265</v>
      </c>
      <c r="B261" s="54" t="s">
        <v>243</v>
      </c>
      <c r="C261" s="148">
        <f>ROUND(VLOOKUP(A261,'Contribution Allocation_Report'!$A$9:$D$314,4,FALSE)*'OPEB Amounts_Report'!$C$321,0)</f>
        <v>581607</v>
      </c>
      <c r="D261" s="148">
        <f>ROUND(VLOOKUP(A261,'Contribution Allocation_Report'!$A$9:$D$314,4,FALSE)*'OPEB Amounts_Report'!$D$321,0)</f>
        <v>3537</v>
      </c>
      <c r="E261" s="148">
        <f>ROUND(VLOOKUP(A261,'Contribution Allocation_Report'!$A$9:$D$314,4,FALSE)*'OPEB Amounts_Report'!$E$321,0)</f>
        <v>83693</v>
      </c>
      <c r="F261" s="148">
        <f>INDEX('Change in Proportion Layers'!$AE$8:$AE$320,MATCH('OPEB Amounts_Report'!A261,'Change in Proportion Layers'!$A$8:$A$320,0))</f>
        <v>178908</v>
      </c>
      <c r="G261" s="148">
        <f t="shared" si="16"/>
        <v>266138</v>
      </c>
      <c r="H261" s="148"/>
      <c r="I261" s="148">
        <f>ROUND(VLOOKUP(A261,'Contribution Allocation_Report'!$A$9:$D$314,4,FALSE)*'OPEB Amounts_Report'!$I$321,0)</f>
        <v>99935</v>
      </c>
      <c r="J261" s="148">
        <f>ROUND(VLOOKUP(A261,'Contribution Allocation_Report'!$A$9:$D$314,4,FALSE)*'OPEB Amounts_Report'!$J$321,0)</f>
        <v>8799</v>
      </c>
      <c r="K261" s="148">
        <f>ROUND(VLOOKUP(A261,'Contribution Allocation_Report'!$A$9:$D$314,4,FALSE)*$K$321,0)</f>
        <v>268236</v>
      </c>
      <c r="L261" s="148">
        <f>INDEX('Change in Proportion Layers'!$AF$8:$AF$320,MATCH('OPEB Amounts_Report'!A261,'Change in Proportion Layers'!$A$8:$A$320,0))</f>
        <v>56308</v>
      </c>
      <c r="M261" s="148">
        <f t="shared" si="21"/>
        <v>433278</v>
      </c>
      <c r="N261" s="220"/>
      <c r="O261" s="220">
        <f>ROUND(VLOOKUP(A261,'Contribution Allocation_Report'!$A$9:$D$314,4,FALSE)*'OPEB Amounts_Report'!$O$321,0)</f>
        <v>-99455</v>
      </c>
      <c r="P261" s="220">
        <f>INDEX('Change in Proportion Layers'!$AC$8:$AC$320,MATCH('OPEB Amounts_Report'!A261,'Change in Proportion Layers'!$A$8:$A$320,0))</f>
        <v>62189</v>
      </c>
      <c r="Q261" s="220">
        <f t="shared" si="18"/>
        <v>-37266</v>
      </c>
    </row>
    <row r="262" spans="1:17" ht="12" customHeight="1">
      <c r="A262" s="51">
        <v>20307</v>
      </c>
      <c r="B262" s="55" t="s">
        <v>244</v>
      </c>
      <c r="C262" s="147">
        <f>ROUND(VLOOKUP(A262,'Contribution Allocation_Report'!$A$9:$D$314,4,FALSE)*'OPEB Amounts_Report'!$C$321,0)</f>
        <v>459025</v>
      </c>
      <c r="D262" s="147">
        <f>ROUND(VLOOKUP(A262,'Contribution Allocation_Report'!$A$9:$D$314,4,FALSE)*'OPEB Amounts_Report'!$D$321,0)</f>
        <v>2792</v>
      </c>
      <c r="E262" s="147">
        <f>ROUND(VLOOKUP(A262,'Contribution Allocation_Report'!$A$9:$D$314,4,FALSE)*'OPEB Amounts_Report'!$E$321,0)</f>
        <v>66053</v>
      </c>
      <c r="F262" s="147">
        <f>INDEX('Change in Proportion Layers'!$AE$8:$AE$320,MATCH('OPEB Amounts_Report'!A262,'Change in Proportion Layers'!$A$8:$A$320,0))</f>
        <v>108920</v>
      </c>
      <c r="G262" s="147">
        <f t="shared" si="16"/>
        <v>177765</v>
      </c>
      <c r="H262" s="147"/>
      <c r="I262" s="147">
        <f>ROUND(VLOOKUP(A262,'Contribution Allocation_Report'!$A$9:$D$314,4,FALSE)*'OPEB Amounts_Report'!$I$321,0)</f>
        <v>78872</v>
      </c>
      <c r="J262" s="147">
        <f>ROUND(VLOOKUP(A262,'Contribution Allocation_Report'!$A$9:$D$314,4,FALSE)*'OPEB Amounts_Report'!$J$321,0)</f>
        <v>6945</v>
      </c>
      <c r="K262" s="147">
        <f>ROUND(VLOOKUP(A262,'Contribution Allocation_Report'!$A$9:$D$314,4,FALSE)*$K$321,0)</f>
        <v>211702</v>
      </c>
      <c r="L262" s="147">
        <f>INDEX('Change in Proportion Layers'!$AF$8:$AF$320,MATCH('OPEB Amounts_Report'!A262,'Change in Proportion Layers'!$A$8:$A$320,0))</f>
        <v>58695</v>
      </c>
      <c r="M262" s="147">
        <f t="shared" si="21"/>
        <v>356214</v>
      </c>
      <c r="N262" s="221"/>
      <c r="O262" s="221">
        <f>ROUND(VLOOKUP(A262,'Contribution Allocation_Report'!$A$9:$D$314,4,FALSE)*'OPEB Amounts_Report'!$O$321,0)</f>
        <v>-78493</v>
      </c>
      <c r="P262" s="221">
        <f>INDEX('Change in Proportion Layers'!$AC$8:$AC$320,MATCH('OPEB Amounts_Report'!A262,'Change in Proportion Layers'!$A$8:$A$320,0))</f>
        <v>57927</v>
      </c>
      <c r="Q262" s="221">
        <f t="shared" si="18"/>
        <v>-20566</v>
      </c>
    </row>
    <row r="263" spans="1:17" ht="12" customHeight="1">
      <c r="A263" s="53">
        <v>3320</v>
      </c>
      <c r="B263" s="54" t="s">
        <v>245</v>
      </c>
      <c r="C263" s="148">
        <f>ROUND(VLOOKUP(A263,'Contribution Allocation_Report'!$A$9:$D$314,4,FALSE)*'OPEB Amounts_Report'!$C$321,0)</f>
        <v>3084429</v>
      </c>
      <c r="D263" s="148">
        <f>ROUND(VLOOKUP(A263,'Contribution Allocation_Report'!$A$9:$D$314,4,FALSE)*'OPEB Amounts_Report'!$D$321,0)</f>
        <v>18759</v>
      </c>
      <c r="E263" s="148">
        <f>ROUND(VLOOKUP(A263,'Contribution Allocation_Report'!$A$9:$D$314,4,FALSE)*'OPEB Amounts_Report'!$E$321,0)</f>
        <v>443847</v>
      </c>
      <c r="F263" s="148">
        <f>INDEX('Change in Proportion Layers'!$AE$8:$AE$320,MATCH('OPEB Amounts_Report'!A263,'Change in Proportion Layers'!$A$8:$A$320,0))</f>
        <v>583070</v>
      </c>
      <c r="G263" s="148">
        <f t="shared" si="16"/>
        <v>1045676</v>
      </c>
      <c r="H263" s="148"/>
      <c r="I263" s="148">
        <f>ROUND(VLOOKUP(A263,'Contribution Allocation_Report'!$A$9:$D$314,4,FALSE)*'OPEB Amounts_Report'!$I$321,0)</f>
        <v>529982</v>
      </c>
      <c r="J263" s="148">
        <f>ROUND(VLOOKUP(A263,'Contribution Allocation_Report'!$A$9:$D$314,4,FALSE)*'OPEB Amounts_Report'!$J$321,0)</f>
        <v>46665</v>
      </c>
      <c r="K263" s="148">
        <f>ROUND(VLOOKUP(A263,'Contribution Allocation_Report'!$A$9:$D$314,4,FALSE)*$K$321,0)</f>
        <v>1422535</v>
      </c>
      <c r="L263" s="148">
        <f>INDEX('Change in Proportion Layers'!$AF$8:$AF$320,MATCH('OPEB Amounts_Report'!A263,'Change in Proportion Layers'!$A$8:$A$320,0))</f>
        <v>441718</v>
      </c>
      <c r="M263" s="148">
        <f t="shared" si="21"/>
        <v>2440900</v>
      </c>
      <c r="N263" s="220"/>
      <c r="O263" s="220">
        <f>ROUND(VLOOKUP(A263,'Contribution Allocation_Report'!$A$9:$D$314,4,FALSE)*'OPEB Amounts_Report'!$O$321,0)</f>
        <v>-527438</v>
      </c>
      <c r="P263" s="220">
        <f>INDEX('Change in Proportion Layers'!$AC$8:$AC$320,MATCH('OPEB Amounts_Report'!A263,'Change in Proportion Layers'!$A$8:$A$320,0))</f>
        <v>-129961</v>
      </c>
      <c r="Q263" s="220">
        <f t="shared" si="18"/>
        <v>-657399</v>
      </c>
    </row>
    <row r="264" spans="1:17" ht="12" customHeight="1">
      <c r="A264" s="51">
        <v>20415</v>
      </c>
      <c r="B264" s="55" t="s">
        <v>246</v>
      </c>
      <c r="C264" s="147">
        <f>ROUND(VLOOKUP(A264,'Contribution Allocation_Report'!$A$9:$D$314,4,FALSE)*'OPEB Amounts_Report'!$C$321,0)</f>
        <v>367011</v>
      </c>
      <c r="D264" s="147">
        <f>ROUND(VLOOKUP(A264,'Contribution Allocation_Report'!$A$9:$D$314,4,FALSE)*'OPEB Amounts_Report'!$D$321,0)</f>
        <v>2232</v>
      </c>
      <c r="E264" s="147">
        <f>ROUND(VLOOKUP(A264,'Contribution Allocation_Report'!$A$9:$D$314,4,FALSE)*'OPEB Amounts_Report'!$E$321,0)</f>
        <v>52813</v>
      </c>
      <c r="F264" s="147">
        <f>INDEX('Change in Proportion Layers'!$AE$8:$AE$320,MATCH('OPEB Amounts_Report'!A264,'Change in Proportion Layers'!$A$8:$A$320,0))</f>
        <v>99452</v>
      </c>
      <c r="G264" s="147">
        <f t="shared" si="16"/>
        <v>154497</v>
      </c>
      <c r="H264" s="147"/>
      <c r="I264" s="147">
        <f>ROUND(VLOOKUP(A264,'Contribution Allocation_Report'!$A$9:$D$314,4,FALSE)*'OPEB Amounts_Report'!$I$321,0)</f>
        <v>63062</v>
      </c>
      <c r="J264" s="147">
        <f>ROUND(VLOOKUP(A264,'Contribution Allocation_Report'!$A$9:$D$314,4,FALSE)*'OPEB Amounts_Report'!$J$321,0)</f>
        <v>5553</v>
      </c>
      <c r="K264" s="147">
        <f>ROUND(VLOOKUP(A264,'Contribution Allocation_Report'!$A$9:$D$314,4,FALSE)*$K$321,0)</f>
        <v>169265</v>
      </c>
      <c r="L264" s="147">
        <f>INDEX('Change in Proportion Layers'!$AF$8:$AF$320,MATCH('OPEB Amounts_Report'!A264,'Change in Proportion Layers'!$A$8:$A$320,0))</f>
        <v>24997</v>
      </c>
      <c r="M264" s="147">
        <f t="shared" si="21"/>
        <v>262877</v>
      </c>
      <c r="N264" s="221"/>
      <c r="O264" s="221">
        <f>ROUND(VLOOKUP(A264,'Contribution Allocation_Report'!$A$9:$D$314,4,FALSE)*'OPEB Amounts_Report'!$O$321,0)</f>
        <v>-62759</v>
      </c>
      <c r="P264" s="221">
        <f>INDEX('Change in Proportion Layers'!$AC$8:$AC$320,MATCH('OPEB Amounts_Report'!A264,'Change in Proportion Layers'!$A$8:$A$320,0))</f>
        <v>22926</v>
      </c>
      <c r="Q264" s="221">
        <f t="shared" si="18"/>
        <v>-39833</v>
      </c>
    </row>
    <row r="265" spans="1:17" ht="12" customHeight="1">
      <c r="A265" s="53">
        <v>20435</v>
      </c>
      <c r="B265" s="54" t="s">
        <v>407</v>
      </c>
      <c r="C265" s="148">
        <f>ROUND(VLOOKUP(A265,'Contribution Allocation_Report'!$A$9:$D$314,4,FALSE)*'OPEB Amounts_Report'!$C$321,0)</f>
        <v>370730</v>
      </c>
      <c r="D265" s="148">
        <f>ROUND(VLOOKUP(A265,'Contribution Allocation_Report'!$A$9:$D$314,4,FALSE)*'OPEB Amounts_Report'!$D$321,0)</f>
        <v>2255</v>
      </c>
      <c r="E265" s="148">
        <f>ROUND(VLOOKUP(A265,'Contribution Allocation_Report'!$A$9:$D$314,4,FALSE)*'OPEB Amounts_Report'!$E$321,0)</f>
        <v>53348</v>
      </c>
      <c r="F265" s="148">
        <f>INDEX('Change in Proportion Layers'!$AE$8:$AE$320,MATCH('OPEB Amounts_Report'!A265,'Change in Proportion Layers'!$A$8:$A$320,0))</f>
        <v>148930</v>
      </c>
      <c r="G265" s="148">
        <f t="shared" si="16"/>
        <v>204533</v>
      </c>
      <c r="H265" s="148"/>
      <c r="I265" s="148">
        <f>ROUND(VLOOKUP(A265,'Contribution Allocation_Report'!$A$9:$D$314,4,FALSE)*'OPEB Amounts_Report'!$I$321,0)</f>
        <v>63701</v>
      </c>
      <c r="J265" s="148">
        <f>ROUND(VLOOKUP(A265,'Contribution Allocation_Report'!$A$9:$D$314,4,FALSE)*'OPEB Amounts_Report'!$J$321,0)</f>
        <v>5609</v>
      </c>
      <c r="K265" s="148">
        <f>ROUND(VLOOKUP(A265,'Contribution Allocation_Report'!$A$9:$D$314,4,FALSE)*$K$321,0)</f>
        <v>170980</v>
      </c>
      <c r="L265" s="148">
        <f>INDEX('Change in Proportion Layers'!$AF$8:$AF$320,MATCH('OPEB Amounts_Report'!A265,'Change in Proportion Layers'!$A$8:$A$320,0))</f>
        <v>183184</v>
      </c>
      <c r="M265" s="148">
        <f t="shared" si="21"/>
        <v>423474</v>
      </c>
      <c r="N265" s="220"/>
      <c r="O265" s="220">
        <f>ROUND(VLOOKUP(A265,'Contribution Allocation_Report'!$A$9:$D$314,4,FALSE)*'OPEB Amounts_Report'!$O$321,0)</f>
        <v>-63395</v>
      </c>
      <c r="P265" s="220">
        <f>INDEX('Change in Proportion Layers'!$AC$8:$AC$320,MATCH('OPEB Amounts_Report'!A265,'Change in Proportion Layers'!$A$8:$A$320,0))</f>
        <v>42341</v>
      </c>
      <c r="Q265" s="220">
        <f t="shared" si="18"/>
        <v>-21054</v>
      </c>
    </row>
    <row r="266" spans="1:17" ht="12" customHeight="1">
      <c r="A266" s="51">
        <v>20062</v>
      </c>
      <c r="B266" s="55" t="s">
        <v>247</v>
      </c>
      <c r="C266" s="147">
        <f>ROUND(VLOOKUP(A266,'Contribution Allocation_Report'!$A$9:$D$314,4,FALSE)*'OPEB Amounts_Report'!$C$321,0)</f>
        <v>4051298</v>
      </c>
      <c r="D266" s="147">
        <f>ROUND(VLOOKUP(A266,'Contribution Allocation_Report'!$A$9:$D$314,4,FALSE)*'OPEB Amounts_Report'!$D$321,0)</f>
        <v>24639</v>
      </c>
      <c r="E266" s="147">
        <f>ROUND(VLOOKUP(A266,'Contribution Allocation_Report'!$A$9:$D$314,4,FALSE)*'OPEB Amounts_Report'!$E$321,0)</f>
        <v>582978</v>
      </c>
      <c r="F266" s="147">
        <f>INDEX('Change in Proportion Layers'!$AE$8:$AE$320,MATCH('OPEB Amounts_Report'!A266,'Change in Proportion Layers'!$A$8:$A$320,0))</f>
        <v>99211</v>
      </c>
      <c r="G266" s="147">
        <f t="shared" ref="G266:G319" si="22">SUM(D266:F266)</f>
        <v>706828</v>
      </c>
      <c r="H266" s="147"/>
      <c r="I266" s="147">
        <f>ROUND(VLOOKUP(A266,'Contribution Allocation_Report'!$A$9:$D$314,4,FALSE)*'OPEB Amounts_Report'!$I$321,0)</f>
        <v>696115</v>
      </c>
      <c r="J266" s="147">
        <f>ROUND(VLOOKUP(A266,'Contribution Allocation_Report'!$A$9:$D$314,4,FALSE)*'OPEB Amounts_Report'!$J$321,0)</f>
        <v>61292</v>
      </c>
      <c r="K266" s="147">
        <f>ROUND(VLOOKUP(A266,'Contribution Allocation_Report'!$A$9:$D$314,4,FALSE)*$K$321,0)</f>
        <v>1868454</v>
      </c>
      <c r="L266" s="147">
        <f>INDEX('Change in Proportion Layers'!$AF$8:$AF$320,MATCH('OPEB Amounts_Report'!A266,'Change in Proportion Layers'!$A$8:$A$320,0))</f>
        <v>998245</v>
      </c>
      <c r="M266" s="147">
        <f t="shared" si="21"/>
        <v>3624106</v>
      </c>
      <c r="N266" s="221"/>
      <c r="O266" s="221">
        <f>ROUND(VLOOKUP(A266,'Contribution Allocation_Report'!$A$9:$D$314,4,FALSE)*'OPEB Amounts_Report'!$O$321,0)</f>
        <v>-692773</v>
      </c>
      <c r="P266" s="221">
        <f>INDEX('Change in Proportion Layers'!$AC$8:$AC$320,MATCH('OPEB Amounts_Report'!A266,'Change in Proportion Layers'!$A$8:$A$320,0))</f>
        <v>-223647</v>
      </c>
      <c r="Q266" s="221">
        <f t="shared" si="18"/>
        <v>-916420</v>
      </c>
    </row>
    <row r="267" spans="1:17" ht="12" customHeight="1">
      <c r="A267" s="53">
        <v>3410</v>
      </c>
      <c r="B267" s="54" t="s">
        <v>457</v>
      </c>
      <c r="C267" s="148">
        <f>ROUND(VLOOKUP(A267,'Contribution Allocation_Report'!$A$9:$D$314,4,FALSE)*'OPEB Amounts_Report'!$C$321,0)</f>
        <v>114317</v>
      </c>
      <c r="D267" s="148">
        <f>ROUND(VLOOKUP(A267,'Contribution Allocation_Report'!$A$9:$D$314,4,FALSE)*'OPEB Amounts_Report'!$D$321,0)</f>
        <v>695</v>
      </c>
      <c r="E267" s="148">
        <f>ROUND(VLOOKUP(A267,'Contribution Allocation_Report'!$A$9:$D$314,4,FALSE)*'OPEB Amounts_Report'!$E$321,0)</f>
        <v>16450</v>
      </c>
      <c r="F267" s="148">
        <f>INDEX('Change in Proportion Layers'!$AE$8:$AE$320,MATCH('OPEB Amounts_Report'!A267,'Change in Proportion Layers'!$A$8:$A$320,0))</f>
        <v>161709</v>
      </c>
      <c r="G267" s="148">
        <f t="shared" si="22"/>
        <v>178854</v>
      </c>
      <c r="H267" s="148"/>
      <c r="I267" s="148">
        <f>ROUND(VLOOKUP(A267,'Contribution Allocation_Report'!$A$9:$D$314,4,FALSE)*'OPEB Amounts_Report'!$I$321,0)</f>
        <v>19643</v>
      </c>
      <c r="J267" s="148">
        <f>ROUND(VLOOKUP(A267,'Contribution Allocation_Report'!$A$9:$D$314,4,FALSE)*'OPEB Amounts_Report'!$J$321,0)</f>
        <v>1730</v>
      </c>
      <c r="K267" s="148">
        <f>ROUND(VLOOKUP(A267,'Contribution Allocation_Report'!$A$9:$D$314,4,FALSE)*$K$321,0)</f>
        <v>52723</v>
      </c>
      <c r="L267" s="148">
        <f>INDEX('Change in Proportion Layers'!$AF$8:$AF$320,MATCH('OPEB Amounts_Report'!A267,'Change in Proportion Layers'!$A$8:$A$320,0))</f>
        <v>0</v>
      </c>
      <c r="M267" s="148">
        <f t="shared" ref="M267" si="23">SUM(I267:L267)</f>
        <v>74096</v>
      </c>
      <c r="N267" s="220"/>
      <c r="O267" s="220">
        <f>ROUND(VLOOKUP(A267,'Contribution Allocation_Report'!$A$9:$D$314,4,FALSE)*'OPEB Amounts_Report'!$O$321,0)</f>
        <v>-19548</v>
      </c>
      <c r="P267" s="220">
        <f>INDEX('Change in Proportion Layers'!$AC$8:$AC$320,MATCH('OPEB Amounts_Report'!A267,'Change in Proportion Layers'!$A$8:$A$320,0))</f>
        <v>37225</v>
      </c>
      <c r="Q267" s="220">
        <f t="shared" ref="Q267" si="24">+O267+P267</f>
        <v>17677</v>
      </c>
    </row>
    <row r="268" spans="1:17" ht="12" customHeight="1">
      <c r="A268" s="51">
        <v>6020</v>
      </c>
      <c r="B268" s="55" t="s">
        <v>248</v>
      </c>
      <c r="C268" s="147">
        <f>ROUND(VLOOKUP(A268,'Contribution Allocation_Report'!$A$9:$D$314,4,FALSE)*'OPEB Amounts_Report'!$C$321,0)</f>
        <v>840339</v>
      </c>
      <c r="D268" s="147">
        <f>ROUND(VLOOKUP(A268,'Contribution Allocation_Report'!$A$9:$D$314,4,FALSE)*'OPEB Amounts_Report'!$D$321,0)</f>
        <v>5111</v>
      </c>
      <c r="E268" s="147">
        <f>ROUND(VLOOKUP(A268,'Contribution Allocation_Report'!$A$9:$D$314,4,FALSE)*'OPEB Amounts_Report'!$E$321,0)</f>
        <v>120924</v>
      </c>
      <c r="F268" s="147">
        <f>INDEX('Change in Proportion Layers'!$AE$8:$AE$320,MATCH('OPEB Amounts_Report'!A268,'Change in Proportion Layers'!$A$8:$A$320,0))</f>
        <v>42658</v>
      </c>
      <c r="G268" s="147">
        <f t="shared" si="22"/>
        <v>168693</v>
      </c>
      <c r="H268" s="147"/>
      <c r="I268" s="147">
        <f>ROUND(VLOOKUP(A268,'Contribution Allocation_Report'!$A$9:$D$314,4,FALSE)*'OPEB Amounts_Report'!$I$321,0)</f>
        <v>144391</v>
      </c>
      <c r="J268" s="147">
        <f>ROUND(VLOOKUP(A268,'Contribution Allocation_Report'!$A$9:$D$314,4,FALSE)*'OPEB Amounts_Report'!$J$321,0)</f>
        <v>12714</v>
      </c>
      <c r="K268" s="147">
        <f>ROUND(VLOOKUP(A268,'Contribution Allocation_Report'!$A$9:$D$314,4,FALSE)*$K$321,0)</f>
        <v>387563</v>
      </c>
      <c r="L268" s="147">
        <f>INDEX('Change in Proportion Layers'!$AF$8:$AF$320,MATCH('OPEB Amounts_Report'!A268,'Change in Proportion Layers'!$A$8:$A$320,0))</f>
        <v>130257</v>
      </c>
      <c r="M268" s="147">
        <f t="shared" ref="M268:M299" si="25">SUM(I268:L268)</f>
        <v>674925</v>
      </c>
      <c r="N268" s="221"/>
      <c r="O268" s="221">
        <f>ROUND(VLOOKUP(A268,'Contribution Allocation_Report'!$A$9:$D$314,4,FALSE)*'OPEB Amounts_Report'!$O$321,0)</f>
        <v>-143698</v>
      </c>
      <c r="P268" s="221">
        <f>INDEX('Change in Proportion Layers'!$AC$8:$AC$320,MATCH('OPEB Amounts_Report'!A268,'Change in Proportion Layers'!$A$8:$A$320,0))</f>
        <v>-15958</v>
      </c>
      <c r="Q268" s="221">
        <f t="shared" si="18"/>
        <v>-159656</v>
      </c>
    </row>
    <row r="269" spans="1:17" ht="12" customHeight="1">
      <c r="A269" s="53">
        <v>2394</v>
      </c>
      <c r="B269" s="54" t="s">
        <v>249</v>
      </c>
      <c r="C269" s="148">
        <f>ROUND(VLOOKUP(A269,'Contribution Allocation_Report'!$A$9:$D$314,4,FALSE)*'OPEB Amounts_Report'!$C$321,0)</f>
        <v>578014</v>
      </c>
      <c r="D269" s="148">
        <f>ROUND(VLOOKUP(A269,'Contribution Allocation_Report'!$A$9:$D$314,4,FALSE)*'OPEB Amounts_Report'!$D$321,0)</f>
        <v>3515</v>
      </c>
      <c r="E269" s="148">
        <f>ROUND(VLOOKUP(A269,'Contribution Allocation_Report'!$A$9:$D$314,4,FALSE)*'OPEB Amounts_Report'!$E$321,0)</f>
        <v>83176</v>
      </c>
      <c r="F269" s="148">
        <f>INDEX('Change in Proportion Layers'!$AE$8:$AE$320,MATCH('OPEB Amounts_Report'!A269,'Change in Proportion Layers'!$A$8:$A$320,0))</f>
        <v>139474</v>
      </c>
      <c r="G269" s="148">
        <f t="shared" si="22"/>
        <v>226165</v>
      </c>
      <c r="H269" s="148"/>
      <c r="I269" s="148">
        <f>ROUND(VLOOKUP(A269,'Contribution Allocation_Report'!$A$9:$D$314,4,FALSE)*'OPEB Amounts_Report'!$I$321,0)</f>
        <v>99317</v>
      </c>
      <c r="J269" s="148">
        <f>ROUND(VLOOKUP(A269,'Contribution Allocation_Report'!$A$9:$D$314,4,FALSE)*'OPEB Amounts_Report'!$J$321,0)</f>
        <v>8745</v>
      </c>
      <c r="K269" s="148">
        <f>ROUND(VLOOKUP(A269,'Contribution Allocation_Report'!$A$9:$D$314,4,FALSE)*$K$321,0)</f>
        <v>266579</v>
      </c>
      <c r="L269" s="148">
        <f>INDEX('Change in Proportion Layers'!$AF$8:$AF$320,MATCH('OPEB Amounts_Report'!A269,'Change in Proportion Layers'!$A$8:$A$320,0))</f>
        <v>19328</v>
      </c>
      <c r="M269" s="148">
        <f t="shared" si="25"/>
        <v>393969</v>
      </c>
      <c r="N269" s="220"/>
      <c r="O269" s="220">
        <f>ROUND(VLOOKUP(A269,'Contribution Allocation_Report'!$A$9:$D$314,4,FALSE)*'OPEB Amounts_Report'!$O$321,0)</f>
        <v>-98841</v>
      </c>
      <c r="P269" s="220">
        <f>INDEX('Change in Proportion Layers'!$AC$8:$AC$320,MATCH('OPEB Amounts_Report'!A269,'Change in Proportion Layers'!$A$8:$A$320,0))</f>
        <v>48686</v>
      </c>
      <c r="Q269" s="220">
        <f t="shared" si="18"/>
        <v>-50155</v>
      </c>
    </row>
    <row r="270" spans="1:17" ht="12" customHeight="1">
      <c r="A270" s="51">
        <v>5015</v>
      </c>
      <c r="B270" s="55" t="s">
        <v>250</v>
      </c>
      <c r="C270" s="147">
        <f>ROUND(VLOOKUP(A270,'Contribution Allocation_Report'!$A$9:$D$314,4,FALSE)*'OPEB Amounts_Report'!$C$321,0)</f>
        <v>1173166</v>
      </c>
      <c r="D270" s="147">
        <f>ROUND(VLOOKUP(A270,'Contribution Allocation_Report'!$A$9:$D$314,4,FALSE)*'OPEB Amounts_Report'!$D$321,0)</f>
        <v>7135</v>
      </c>
      <c r="E270" s="147">
        <f>ROUND(VLOOKUP(A270,'Contribution Allocation_Report'!$A$9:$D$314,4,FALSE)*'OPEB Amounts_Report'!$E$321,0)</f>
        <v>168818</v>
      </c>
      <c r="F270" s="147">
        <f>INDEX('Change in Proportion Layers'!$AE$8:$AE$320,MATCH('OPEB Amounts_Report'!A270,'Change in Proportion Layers'!$A$8:$A$320,0))</f>
        <v>21906</v>
      </c>
      <c r="G270" s="147">
        <f t="shared" si="22"/>
        <v>197859</v>
      </c>
      <c r="H270" s="147"/>
      <c r="I270" s="147">
        <f>ROUND(VLOOKUP(A270,'Contribution Allocation_Report'!$A$9:$D$314,4,FALSE)*'OPEB Amounts_Report'!$I$321,0)</f>
        <v>201579</v>
      </c>
      <c r="J270" s="147">
        <f>ROUND(VLOOKUP(A270,'Contribution Allocation_Report'!$A$9:$D$314,4,FALSE)*'OPEB Amounts_Report'!$J$321,0)</f>
        <v>17749</v>
      </c>
      <c r="K270" s="147">
        <f>ROUND(VLOOKUP(A270,'Contribution Allocation_Report'!$A$9:$D$314,4,FALSE)*$K$321,0)</f>
        <v>541063</v>
      </c>
      <c r="L270" s="147">
        <f>INDEX('Change in Proportion Layers'!$AF$8:$AF$320,MATCH('OPEB Amounts_Report'!A270,'Change in Proportion Layers'!$A$8:$A$320,0))</f>
        <v>172601</v>
      </c>
      <c r="M270" s="147">
        <f t="shared" si="25"/>
        <v>932992</v>
      </c>
      <c r="N270" s="221"/>
      <c r="O270" s="221">
        <f>ROUND(VLOOKUP(A270,'Contribution Allocation_Report'!$A$9:$D$314,4,FALSE)*'OPEB Amounts_Report'!$O$321,0)</f>
        <v>-200612</v>
      </c>
      <c r="P270" s="221">
        <f>INDEX('Change in Proportion Layers'!$AC$8:$AC$320,MATCH('OPEB Amounts_Report'!A270,'Change in Proportion Layers'!$A$8:$A$320,0))</f>
        <v>-22311</v>
      </c>
      <c r="Q270" s="221">
        <f t="shared" ref="Q270:Q319" si="26">+O270+P270</f>
        <v>-222923</v>
      </c>
    </row>
    <row r="271" spans="1:17" ht="12" customHeight="1">
      <c r="A271" s="53">
        <v>29408</v>
      </c>
      <c r="B271" s="54" t="s">
        <v>251</v>
      </c>
      <c r="C271" s="148">
        <f>ROUND(VLOOKUP(A271,'Contribution Allocation_Report'!$A$9:$D$314,4,FALSE)*'OPEB Amounts_Report'!$C$321,0)</f>
        <v>897537</v>
      </c>
      <c r="D271" s="148">
        <f>ROUND(VLOOKUP(A271,'Contribution Allocation_Report'!$A$9:$D$314,4,FALSE)*'OPEB Amounts_Report'!$D$321,0)</f>
        <v>5459</v>
      </c>
      <c r="E271" s="148">
        <f>ROUND(VLOOKUP(A271,'Contribution Allocation_Report'!$A$9:$D$314,4,FALSE)*'OPEB Amounts_Report'!$E$321,0)</f>
        <v>129155</v>
      </c>
      <c r="F271" s="148">
        <f>INDEX('Change in Proportion Layers'!$AE$8:$AE$320,MATCH('OPEB Amounts_Report'!A271,'Change in Proportion Layers'!$A$8:$A$320,0))</f>
        <v>120965</v>
      </c>
      <c r="G271" s="148">
        <f t="shared" si="22"/>
        <v>255579</v>
      </c>
      <c r="H271" s="148"/>
      <c r="I271" s="148">
        <f>ROUND(VLOOKUP(A271,'Contribution Allocation_Report'!$A$9:$D$314,4,FALSE)*'OPEB Amounts_Report'!$I$321,0)</f>
        <v>154219</v>
      </c>
      <c r="J271" s="148">
        <f>ROUND(VLOOKUP(A271,'Contribution Allocation_Report'!$A$9:$D$314,4,FALSE)*'OPEB Amounts_Report'!$J$321,0)</f>
        <v>13579</v>
      </c>
      <c r="K271" s="148">
        <f>ROUND(VLOOKUP(A271,'Contribution Allocation_Report'!$A$9:$D$314,4,FALSE)*$K$321,0)</f>
        <v>413943</v>
      </c>
      <c r="L271" s="148">
        <f>INDEX('Change in Proportion Layers'!$AF$8:$AF$320,MATCH('OPEB Amounts_Report'!A271,'Change in Proportion Layers'!$A$8:$A$320,0))</f>
        <v>37020</v>
      </c>
      <c r="M271" s="148">
        <f t="shared" si="25"/>
        <v>618761</v>
      </c>
      <c r="N271" s="220"/>
      <c r="O271" s="220">
        <f>ROUND(VLOOKUP(A271,'Contribution Allocation_Report'!$A$9:$D$314,4,FALSE)*'OPEB Amounts_Report'!$O$321,0)</f>
        <v>-153479</v>
      </c>
      <c r="P271" s="220">
        <f>INDEX('Change in Proportion Layers'!$AC$8:$AC$320,MATCH('OPEB Amounts_Report'!A271,'Change in Proportion Layers'!$A$8:$A$320,0))</f>
        <v>69103</v>
      </c>
      <c r="Q271" s="220">
        <f t="shared" si="26"/>
        <v>-84376</v>
      </c>
    </row>
    <row r="272" spans="1:17" ht="12" customHeight="1">
      <c r="A272" s="51">
        <v>2413</v>
      </c>
      <c r="B272" s="55" t="s">
        <v>252</v>
      </c>
      <c r="C272" s="147">
        <f>ROUND(VLOOKUP(A272,'Contribution Allocation_Report'!$A$9:$D$314,4,FALSE)*'OPEB Amounts_Report'!$C$321,0)</f>
        <v>116831</v>
      </c>
      <c r="D272" s="147">
        <f>ROUND(VLOOKUP(A272,'Contribution Allocation_Report'!$A$9:$D$314,4,FALSE)*'OPEB Amounts_Report'!$D$321,0)</f>
        <v>711</v>
      </c>
      <c r="E272" s="147">
        <f>ROUND(VLOOKUP(A272,'Contribution Allocation_Report'!$A$9:$D$314,4,FALSE)*'OPEB Amounts_Report'!$E$321,0)</f>
        <v>16812</v>
      </c>
      <c r="F272" s="147">
        <f>INDEX('Change in Proportion Layers'!$AE$8:$AE$320,MATCH('OPEB Amounts_Report'!A272,'Change in Proportion Layers'!$A$8:$A$320,0))</f>
        <v>53796</v>
      </c>
      <c r="G272" s="147">
        <f t="shared" si="22"/>
        <v>71319</v>
      </c>
      <c r="H272" s="147"/>
      <c r="I272" s="147">
        <f>ROUND(VLOOKUP(A272,'Contribution Allocation_Report'!$A$9:$D$314,4,FALSE)*'OPEB Amounts_Report'!$I$321,0)</f>
        <v>20075</v>
      </c>
      <c r="J272" s="147">
        <f>ROUND(VLOOKUP(A272,'Contribution Allocation_Report'!$A$9:$D$314,4,FALSE)*'OPEB Amounts_Report'!$J$321,0)</f>
        <v>1768</v>
      </c>
      <c r="K272" s="147">
        <f>ROUND(VLOOKUP(A272,'Contribution Allocation_Report'!$A$9:$D$314,4,FALSE)*$K$321,0)</f>
        <v>53882</v>
      </c>
      <c r="L272" s="147">
        <f>INDEX('Change in Proportion Layers'!$AF$8:$AF$320,MATCH('OPEB Amounts_Report'!A272,'Change in Proportion Layers'!$A$8:$A$320,0))</f>
        <v>217775</v>
      </c>
      <c r="M272" s="147">
        <f t="shared" si="25"/>
        <v>293500</v>
      </c>
      <c r="N272" s="221"/>
      <c r="O272" s="221">
        <f>ROUND(VLOOKUP(A272,'Contribution Allocation_Report'!$A$9:$D$314,4,FALSE)*'OPEB Amounts_Report'!$O$321,0)</f>
        <v>-19978</v>
      </c>
      <c r="P272" s="221">
        <f>INDEX('Change in Proportion Layers'!$AC$8:$AC$320,MATCH('OPEB Amounts_Report'!A272,'Change in Proportion Layers'!$A$8:$A$320,0))</f>
        <v>-64493</v>
      </c>
      <c r="Q272" s="221">
        <f t="shared" si="26"/>
        <v>-84471</v>
      </c>
    </row>
    <row r="273" spans="1:17" ht="12" customHeight="1">
      <c r="A273" s="53">
        <v>1398</v>
      </c>
      <c r="B273" s="54" t="s">
        <v>253</v>
      </c>
      <c r="C273" s="148">
        <f>ROUND(VLOOKUP(A273,'Contribution Allocation_Report'!$A$9:$D$314,4,FALSE)*'OPEB Amounts_Report'!$C$321,0)</f>
        <v>619625</v>
      </c>
      <c r="D273" s="148">
        <f>ROUND(VLOOKUP(A273,'Contribution Allocation_Report'!$A$9:$D$314,4,FALSE)*'OPEB Amounts_Report'!$D$321,0)</f>
        <v>3768</v>
      </c>
      <c r="E273" s="148">
        <f>ROUND(VLOOKUP(A273,'Contribution Allocation_Report'!$A$9:$D$314,4,FALSE)*'OPEB Amounts_Report'!$E$321,0)</f>
        <v>89163</v>
      </c>
      <c r="F273" s="148">
        <f>INDEX('Change in Proportion Layers'!$AE$8:$AE$320,MATCH('OPEB Amounts_Report'!A273,'Change in Proportion Layers'!$A$8:$A$320,0))</f>
        <v>376712</v>
      </c>
      <c r="G273" s="148">
        <f t="shared" si="22"/>
        <v>469643</v>
      </c>
      <c r="H273" s="148"/>
      <c r="I273" s="148">
        <f>ROUND(VLOOKUP(A273,'Contribution Allocation_Report'!$A$9:$D$314,4,FALSE)*'OPEB Amounts_Report'!$I$321,0)</f>
        <v>106467</v>
      </c>
      <c r="J273" s="148">
        <f>ROUND(VLOOKUP(A273,'Contribution Allocation_Report'!$A$9:$D$314,4,FALSE)*'OPEB Amounts_Report'!$J$321,0)</f>
        <v>9374</v>
      </c>
      <c r="K273" s="148">
        <f>ROUND(VLOOKUP(A273,'Contribution Allocation_Report'!$A$9:$D$314,4,FALSE)*$K$321,0)</f>
        <v>285770</v>
      </c>
      <c r="L273" s="148">
        <f>INDEX('Change in Proportion Layers'!$AF$8:$AF$320,MATCH('OPEB Amounts_Report'!A273,'Change in Proportion Layers'!$A$8:$A$320,0))</f>
        <v>68367</v>
      </c>
      <c r="M273" s="148">
        <f t="shared" si="25"/>
        <v>469978</v>
      </c>
      <c r="N273" s="220"/>
      <c r="O273" s="220">
        <f>ROUND(VLOOKUP(A273,'Contribution Allocation_Report'!$A$9:$D$314,4,FALSE)*'OPEB Amounts_Report'!$O$321,0)</f>
        <v>-105956</v>
      </c>
      <c r="P273" s="220">
        <f>INDEX('Change in Proportion Layers'!$AC$8:$AC$320,MATCH('OPEB Amounts_Report'!A273,'Change in Proportion Layers'!$A$8:$A$320,0))</f>
        <v>79433</v>
      </c>
      <c r="Q273" s="220">
        <f t="shared" si="26"/>
        <v>-26523</v>
      </c>
    </row>
    <row r="274" spans="1:17" ht="12" customHeight="1">
      <c r="A274" s="51">
        <v>2366</v>
      </c>
      <c r="B274" s="55" t="s">
        <v>254</v>
      </c>
      <c r="C274" s="147">
        <f>ROUND(VLOOKUP(A274,'Contribution Allocation_Report'!$A$9:$D$314,4,FALSE)*'OPEB Amounts_Report'!$C$321,0)</f>
        <v>272082</v>
      </c>
      <c r="D274" s="147">
        <f>ROUND(VLOOKUP(A274,'Contribution Allocation_Report'!$A$9:$D$314,4,FALSE)*'OPEB Amounts_Report'!$D$321,0)</f>
        <v>1655</v>
      </c>
      <c r="E274" s="147">
        <f>ROUND(VLOOKUP(A274,'Contribution Allocation_Report'!$A$9:$D$314,4,FALSE)*'OPEB Amounts_Report'!$E$321,0)</f>
        <v>39152</v>
      </c>
      <c r="F274" s="147">
        <f>INDEX('Change in Proportion Layers'!$AE$8:$AE$320,MATCH('OPEB Amounts_Report'!A274,'Change in Proportion Layers'!$A$8:$A$320,0))</f>
        <v>6509</v>
      </c>
      <c r="G274" s="147">
        <f t="shared" si="22"/>
        <v>47316</v>
      </c>
      <c r="H274" s="147"/>
      <c r="I274" s="147">
        <f>ROUND(VLOOKUP(A274,'Contribution Allocation_Report'!$A$9:$D$314,4,FALSE)*'OPEB Amounts_Report'!$I$321,0)</f>
        <v>46750</v>
      </c>
      <c r="J274" s="147">
        <f>ROUND(VLOOKUP(A274,'Contribution Allocation_Report'!$A$9:$D$314,4,FALSE)*'OPEB Amounts_Report'!$J$321,0)</f>
        <v>4116</v>
      </c>
      <c r="K274" s="147">
        <f>ROUND(VLOOKUP(A274,'Contribution Allocation_Report'!$A$9:$D$314,4,FALSE)*$K$321,0)</f>
        <v>125484</v>
      </c>
      <c r="L274" s="147">
        <f>INDEX('Change in Proportion Layers'!$AF$8:$AF$320,MATCH('OPEB Amounts_Report'!A274,'Change in Proportion Layers'!$A$8:$A$320,0))</f>
        <v>187237</v>
      </c>
      <c r="M274" s="147">
        <f t="shared" si="25"/>
        <v>363587</v>
      </c>
      <c r="N274" s="221"/>
      <c r="O274" s="221">
        <f>ROUND(VLOOKUP(A274,'Contribution Allocation_Report'!$A$9:$D$314,4,FALSE)*'OPEB Amounts_Report'!$O$321,0)</f>
        <v>-46526</v>
      </c>
      <c r="P274" s="221">
        <f>INDEX('Change in Proportion Layers'!$AC$8:$AC$320,MATCH('OPEB Amounts_Report'!A274,'Change in Proportion Layers'!$A$8:$A$320,0))</f>
        <v>-68583</v>
      </c>
      <c r="Q274" s="221">
        <f t="shared" si="26"/>
        <v>-115109</v>
      </c>
    </row>
    <row r="275" spans="1:17" ht="12" customHeight="1">
      <c r="A275" s="53">
        <v>7421</v>
      </c>
      <c r="B275" s="54" t="s">
        <v>255</v>
      </c>
      <c r="C275" s="148">
        <f>ROUND(VLOOKUP(A275,'Contribution Allocation_Report'!$A$9:$D$314,4,FALSE)*'OPEB Amounts_Report'!$C$321,0)</f>
        <v>331289</v>
      </c>
      <c r="D275" s="148">
        <f>ROUND(VLOOKUP(A275,'Contribution Allocation_Report'!$A$9:$D$314,4,FALSE)*'OPEB Amounts_Report'!$D$321,0)</f>
        <v>2015</v>
      </c>
      <c r="E275" s="148">
        <f>ROUND(VLOOKUP(A275,'Contribution Allocation_Report'!$A$9:$D$314,4,FALSE)*'OPEB Amounts_Report'!$E$321,0)</f>
        <v>47672</v>
      </c>
      <c r="F275" s="148">
        <f>INDEX('Change in Proportion Layers'!$AE$8:$AE$320,MATCH('OPEB Amounts_Report'!A275,'Change in Proportion Layers'!$A$8:$A$320,0))</f>
        <v>86574</v>
      </c>
      <c r="G275" s="148">
        <f t="shared" si="22"/>
        <v>136261</v>
      </c>
      <c r="H275" s="148"/>
      <c r="I275" s="148">
        <f>ROUND(VLOOKUP(A275,'Contribution Allocation_Report'!$A$9:$D$314,4,FALSE)*'OPEB Amounts_Report'!$I$321,0)</f>
        <v>56924</v>
      </c>
      <c r="J275" s="148">
        <f>ROUND(VLOOKUP(A275,'Contribution Allocation_Report'!$A$9:$D$314,4,FALSE)*'OPEB Amounts_Report'!$J$321,0)</f>
        <v>5012</v>
      </c>
      <c r="K275" s="148">
        <f>ROUND(VLOOKUP(A275,'Contribution Allocation_Report'!$A$9:$D$314,4,FALSE)*$K$321,0)</f>
        <v>152790</v>
      </c>
      <c r="L275" s="148">
        <f>INDEX('Change in Proportion Layers'!$AF$8:$AF$320,MATCH('OPEB Amounts_Report'!A275,'Change in Proportion Layers'!$A$8:$A$320,0))</f>
        <v>83210</v>
      </c>
      <c r="M275" s="148">
        <f t="shared" si="25"/>
        <v>297936</v>
      </c>
      <c r="N275" s="220"/>
      <c r="O275" s="220">
        <f>ROUND(VLOOKUP(A275,'Contribution Allocation_Report'!$A$9:$D$314,4,FALSE)*'OPEB Amounts_Report'!$O$321,0)</f>
        <v>-56650</v>
      </c>
      <c r="P275" s="220">
        <f>INDEX('Change in Proportion Layers'!$AC$8:$AC$320,MATCH('OPEB Amounts_Report'!A275,'Change in Proportion Layers'!$A$8:$A$320,0))</f>
        <v>-46808</v>
      </c>
      <c r="Q275" s="220">
        <f t="shared" si="26"/>
        <v>-103458</v>
      </c>
    </row>
    <row r="276" spans="1:17" ht="12" customHeight="1">
      <c r="A276" s="51">
        <v>1425</v>
      </c>
      <c r="B276" s="55" t="s">
        <v>426</v>
      </c>
      <c r="C276" s="147">
        <f>ROUND(VLOOKUP(A276,'Contribution Allocation_Report'!$A$9:$D$314,4,FALSE)*'OPEB Amounts_Report'!$C$321,0)</f>
        <v>580184</v>
      </c>
      <c r="D276" s="147">
        <f>ROUND(VLOOKUP(A276,'Contribution Allocation_Report'!$A$9:$D$314,4,FALSE)*'OPEB Amounts_Report'!$D$321,0)</f>
        <v>3529</v>
      </c>
      <c r="E276" s="147">
        <f>ROUND(VLOOKUP(A276,'Contribution Allocation_Report'!$A$9:$D$314,4,FALSE)*'OPEB Amounts_Report'!$E$321,0)</f>
        <v>83488</v>
      </c>
      <c r="F276" s="147">
        <f>INDEX('Change in Proportion Layers'!$AE$8:$AE$320,MATCH('OPEB Amounts_Report'!A276,'Change in Proportion Layers'!$A$8:$A$320,0))</f>
        <v>750921</v>
      </c>
      <c r="G276" s="147">
        <f t="shared" si="22"/>
        <v>837938</v>
      </c>
      <c r="H276" s="147"/>
      <c r="I276" s="147">
        <f>ROUND(VLOOKUP(A276,'Contribution Allocation_Report'!$A$9:$D$314,4,FALSE)*'OPEB Amounts_Report'!$I$321,0)</f>
        <v>99690</v>
      </c>
      <c r="J276" s="147">
        <f>ROUND(VLOOKUP(A276,'Contribution Allocation_Report'!$A$9:$D$314,4,FALSE)*'OPEB Amounts_Report'!$J$321,0)</f>
        <v>8778</v>
      </c>
      <c r="K276" s="147">
        <f>ROUND(VLOOKUP(A276,'Contribution Allocation_Report'!$A$9:$D$314,4,FALSE)*$K$321,0)</f>
        <v>267580</v>
      </c>
      <c r="L276" s="147">
        <f>INDEX('Change in Proportion Layers'!$AF$8:$AF$320,MATCH('OPEB Amounts_Report'!A276,'Change in Proportion Layers'!$A$8:$A$320,0))</f>
        <v>0</v>
      </c>
      <c r="M276" s="147">
        <f t="shared" si="25"/>
        <v>376048</v>
      </c>
      <c r="N276" s="221"/>
      <c r="O276" s="221">
        <f>ROUND(VLOOKUP(A276,'Contribution Allocation_Report'!$A$9:$D$314,4,FALSE)*'OPEB Amounts_Report'!$O$321,0)</f>
        <v>-99211</v>
      </c>
      <c r="P276" s="221">
        <f>INDEX('Change in Proportion Layers'!$AC$8:$AC$320,MATCH('OPEB Amounts_Report'!A276,'Change in Proportion Layers'!$A$8:$A$320,0))</f>
        <v>217762</v>
      </c>
      <c r="Q276" s="221">
        <f t="shared" si="26"/>
        <v>118551</v>
      </c>
    </row>
    <row r="277" spans="1:17" ht="12" customHeight="1">
      <c r="A277" s="53">
        <v>2370</v>
      </c>
      <c r="B277" s="54" t="s">
        <v>256</v>
      </c>
      <c r="C277" s="148">
        <f>ROUND(VLOOKUP(A277,'Contribution Allocation_Report'!$A$9:$D$314,4,FALSE)*'OPEB Amounts_Report'!$C$321,0)</f>
        <v>448109</v>
      </c>
      <c r="D277" s="148">
        <f>ROUND(VLOOKUP(A277,'Contribution Allocation_Report'!$A$9:$D$314,4,FALSE)*'OPEB Amounts_Report'!$D$321,0)</f>
        <v>2725</v>
      </c>
      <c r="E277" s="148">
        <f>ROUND(VLOOKUP(A277,'Contribution Allocation_Report'!$A$9:$D$314,4,FALSE)*'OPEB Amounts_Report'!$E$321,0)</f>
        <v>64482</v>
      </c>
      <c r="F277" s="148">
        <f>INDEX('Change in Proportion Layers'!$AE$8:$AE$320,MATCH('OPEB Amounts_Report'!A277,'Change in Proportion Layers'!$A$8:$A$320,0))</f>
        <v>14287</v>
      </c>
      <c r="G277" s="148">
        <f t="shared" si="22"/>
        <v>81494</v>
      </c>
      <c r="H277" s="148"/>
      <c r="I277" s="148">
        <f>ROUND(VLOOKUP(A277,'Contribution Allocation_Report'!$A$9:$D$314,4,FALSE)*'OPEB Amounts_Report'!$I$321,0)</f>
        <v>76996</v>
      </c>
      <c r="J277" s="148">
        <f>ROUND(VLOOKUP(A277,'Contribution Allocation_Report'!$A$9:$D$314,4,FALSE)*'OPEB Amounts_Report'!$J$321,0)</f>
        <v>6779</v>
      </c>
      <c r="K277" s="148">
        <f>ROUND(VLOOKUP(A277,'Contribution Allocation_Report'!$A$9:$D$314,4,FALSE)*$K$321,0)</f>
        <v>206667</v>
      </c>
      <c r="L277" s="148">
        <f>INDEX('Change in Proportion Layers'!$AF$8:$AF$320,MATCH('OPEB Amounts_Report'!A277,'Change in Proportion Layers'!$A$8:$A$320,0))</f>
        <v>202146</v>
      </c>
      <c r="M277" s="148">
        <f t="shared" si="25"/>
        <v>492588</v>
      </c>
      <c r="N277" s="220"/>
      <c r="O277" s="220">
        <f>ROUND(VLOOKUP(A277,'Contribution Allocation_Report'!$A$9:$D$314,4,FALSE)*'OPEB Amounts_Report'!$O$321,0)</f>
        <v>-76627</v>
      </c>
      <c r="P277" s="220">
        <f>INDEX('Change in Proportion Layers'!$AC$8:$AC$320,MATCH('OPEB Amounts_Report'!A277,'Change in Proportion Layers'!$A$8:$A$320,0))</f>
        <v>-41317</v>
      </c>
      <c r="Q277" s="220">
        <f t="shared" si="26"/>
        <v>-117944</v>
      </c>
    </row>
    <row r="278" spans="1:17" ht="12" customHeight="1">
      <c r="A278" s="51">
        <v>1343</v>
      </c>
      <c r="B278" s="55" t="s">
        <v>257</v>
      </c>
      <c r="C278" s="147">
        <f>ROUND(VLOOKUP(A278,'Contribution Allocation_Report'!$A$9:$D$314,4,FALSE)*'OPEB Amounts_Report'!$C$321,0)</f>
        <v>541546</v>
      </c>
      <c r="D278" s="147">
        <f>ROUND(VLOOKUP(A278,'Contribution Allocation_Report'!$A$9:$D$314,4,FALSE)*'OPEB Amounts_Report'!$D$321,0)</f>
        <v>3294</v>
      </c>
      <c r="E278" s="147">
        <f>ROUND(VLOOKUP(A278,'Contribution Allocation_Report'!$A$9:$D$314,4,FALSE)*'OPEB Amounts_Report'!$E$321,0)</f>
        <v>77928</v>
      </c>
      <c r="F278" s="147">
        <f>INDEX('Change in Proportion Layers'!$AE$8:$AE$320,MATCH('OPEB Amounts_Report'!A278,'Change in Proportion Layers'!$A$8:$A$320,0))</f>
        <v>52795</v>
      </c>
      <c r="G278" s="147">
        <f t="shared" si="22"/>
        <v>134017</v>
      </c>
      <c r="H278" s="147"/>
      <c r="I278" s="147">
        <f>ROUND(VLOOKUP(A278,'Contribution Allocation_Report'!$A$9:$D$314,4,FALSE)*'OPEB Amounts_Report'!$I$321,0)</f>
        <v>93051</v>
      </c>
      <c r="J278" s="147">
        <f>ROUND(VLOOKUP(A278,'Contribution Allocation_Report'!$A$9:$D$314,4,FALSE)*'OPEB Amounts_Report'!$J$321,0)</f>
        <v>8193</v>
      </c>
      <c r="K278" s="147">
        <f>ROUND(VLOOKUP(A278,'Contribution Allocation_Report'!$A$9:$D$314,4,FALSE)*$K$321,0)</f>
        <v>249760</v>
      </c>
      <c r="L278" s="147">
        <f>INDEX('Change in Proportion Layers'!$AF$8:$AF$320,MATCH('OPEB Amounts_Report'!A278,'Change in Proportion Layers'!$A$8:$A$320,0))</f>
        <v>193823</v>
      </c>
      <c r="M278" s="147">
        <f t="shared" si="25"/>
        <v>544827</v>
      </c>
      <c r="N278" s="221"/>
      <c r="O278" s="221">
        <f>ROUND(VLOOKUP(A278,'Contribution Allocation_Report'!$A$9:$D$314,4,FALSE)*'OPEB Amounts_Report'!$O$321,0)</f>
        <v>-92604</v>
      </c>
      <c r="P278" s="221">
        <f>INDEX('Change in Proportion Layers'!$AC$8:$AC$320,MATCH('OPEB Amounts_Report'!A278,'Change in Proportion Layers'!$A$8:$A$320,0))</f>
        <v>-6660</v>
      </c>
      <c r="Q278" s="221">
        <f t="shared" si="26"/>
        <v>-99264</v>
      </c>
    </row>
    <row r="279" spans="1:17" ht="12" customHeight="1">
      <c r="A279" s="53">
        <v>2790</v>
      </c>
      <c r="B279" s="54" t="s">
        <v>258</v>
      </c>
      <c r="C279" s="148">
        <f>ROUND(VLOOKUP(A279,'Contribution Allocation_Report'!$A$9:$D$314,4,FALSE)*'OPEB Amounts_Report'!$C$321,0)</f>
        <v>58129</v>
      </c>
      <c r="D279" s="148">
        <f>ROUND(VLOOKUP(A279,'Contribution Allocation_Report'!$A$9:$D$314,4,FALSE)*'OPEB Amounts_Report'!$D$321,0)</f>
        <v>354</v>
      </c>
      <c r="E279" s="148">
        <f>ROUND(VLOOKUP(A279,'Contribution Allocation_Report'!$A$9:$D$314,4,FALSE)*'OPEB Amounts_Report'!$E$321,0)</f>
        <v>8365</v>
      </c>
      <c r="F279" s="148">
        <f>INDEX('Change in Proportion Layers'!$AE$8:$AE$320,MATCH('OPEB Amounts_Report'!A279,'Change in Proportion Layers'!$A$8:$A$320,0))</f>
        <v>8095</v>
      </c>
      <c r="G279" s="148">
        <f t="shared" si="22"/>
        <v>16814</v>
      </c>
      <c r="H279" s="148"/>
      <c r="I279" s="148">
        <f>ROUND(VLOOKUP(A279,'Contribution Allocation_Report'!$A$9:$D$314,4,FALSE)*'OPEB Amounts_Report'!$I$321,0)</f>
        <v>9988</v>
      </c>
      <c r="J279" s="148">
        <f>ROUND(VLOOKUP(A279,'Contribution Allocation_Report'!$A$9:$D$314,4,FALSE)*'OPEB Amounts_Report'!$J$321,0)</f>
        <v>879</v>
      </c>
      <c r="K279" s="148">
        <f>ROUND(VLOOKUP(A279,'Contribution Allocation_Report'!$A$9:$D$314,4,FALSE)*$K$321,0)</f>
        <v>26809</v>
      </c>
      <c r="L279" s="148">
        <f>INDEX('Change in Proportion Layers'!$AF$8:$AF$320,MATCH('OPEB Amounts_Report'!A279,'Change in Proportion Layers'!$A$8:$A$320,0))</f>
        <v>15628</v>
      </c>
      <c r="M279" s="148">
        <f t="shared" si="25"/>
        <v>53304</v>
      </c>
      <c r="N279" s="220"/>
      <c r="O279" s="220">
        <f>ROUND(VLOOKUP(A279,'Contribution Allocation_Report'!$A$9:$D$314,4,FALSE)*'OPEB Amounts_Report'!$O$321,0)</f>
        <v>-9940</v>
      </c>
      <c r="P279" s="220">
        <f>INDEX('Change in Proportion Layers'!$AC$8:$AC$320,MATCH('OPEB Amounts_Report'!A279,'Change in Proportion Layers'!$A$8:$A$320,0))</f>
        <v>-9064</v>
      </c>
      <c r="Q279" s="220">
        <f t="shared" si="26"/>
        <v>-19004</v>
      </c>
    </row>
    <row r="280" spans="1:17" ht="12" customHeight="1">
      <c r="A280" s="51">
        <v>3330</v>
      </c>
      <c r="B280" s="55" t="s">
        <v>259</v>
      </c>
      <c r="C280" s="147">
        <f>ROUND(VLOOKUP(A280,'Contribution Allocation_Report'!$A$9:$D$314,4,FALSE)*'OPEB Amounts_Report'!$C$321,0)</f>
        <v>1262517</v>
      </c>
      <c r="D280" s="147">
        <f>ROUND(VLOOKUP(A280,'Contribution Allocation_Report'!$A$9:$D$314,4,FALSE)*'OPEB Amounts_Report'!$D$321,0)</f>
        <v>7678</v>
      </c>
      <c r="E280" s="147">
        <f>ROUND(VLOOKUP(A280,'Contribution Allocation_Report'!$A$9:$D$314,4,FALSE)*'OPEB Amounts_Report'!$E$321,0)</f>
        <v>181675</v>
      </c>
      <c r="F280" s="147">
        <f>INDEX('Change in Proportion Layers'!$AE$8:$AE$320,MATCH('OPEB Amounts_Report'!A280,'Change in Proportion Layers'!$A$8:$A$320,0))</f>
        <v>70281</v>
      </c>
      <c r="G280" s="147">
        <f t="shared" si="22"/>
        <v>259634</v>
      </c>
      <c r="H280" s="147"/>
      <c r="I280" s="147">
        <f>ROUND(VLOOKUP(A280,'Contribution Allocation_Report'!$A$9:$D$314,4,FALSE)*'OPEB Amounts_Report'!$I$321,0)</f>
        <v>216932</v>
      </c>
      <c r="J280" s="147">
        <f>ROUND(VLOOKUP(A280,'Contribution Allocation_Report'!$A$9:$D$314,4,FALSE)*'OPEB Amounts_Report'!$J$321,0)</f>
        <v>19101</v>
      </c>
      <c r="K280" s="147">
        <f>ROUND(VLOOKUP(A280,'Contribution Allocation_Report'!$A$9:$D$314,4,FALSE)*$K$321,0)</f>
        <v>582271</v>
      </c>
      <c r="L280" s="147">
        <f>INDEX('Change in Proportion Layers'!$AF$8:$AF$320,MATCH('OPEB Amounts_Report'!A280,'Change in Proportion Layers'!$A$8:$A$320,0))</f>
        <v>230206</v>
      </c>
      <c r="M280" s="147">
        <f t="shared" si="25"/>
        <v>1048510</v>
      </c>
      <c r="N280" s="221"/>
      <c r="O280" s="221">
        <f>ROUND(VLOOKUP(A280,'Contribution Allocation_Report'!$A$9:$D$314,4,FALSE)*'OPEB Amounts_Report'!$O$321,0)</f>
        <v>-215891</v>
      </c>
      <c r="P280" s="221">
        <f>INDEX('Change in Proportion Layers'!$AC$8:$AC$320,MATCH('OPEB Amounts_Report'!A280,'Change in Proportion Layers'!$A$8:$A$320,0))</f>
        <v>-2482</v>
      </c>
      <c r="Q280" s="221">
        <f t="shared" si="26"/>
        <v>-218373</v>
      </c>
    </row>
    <row r="281" spans="1:17" ht="12" customHeight="1">
      <c r="A281" s="53">
        <v>2080</v>
      </c>
      <c r="B281" s="54" t="s">
        <v>260</v>
      </c>
      <c r="C281" s="148">
        <f>ROUND(VLOOKUP(A281,'Contribution Allocation_Report'!$A$9:$D$314,4,FALSE)*'OPEB Amounts_Report'!$C$321,0)</f>
        <v>1536779</v>
      </c>
      <c r="D281" s="148">
        <f>ROUND(VLOOKUP(A281,'Contribution Allocation_Report'!$A$9:$D$314,4,FALSE)*'OPEB Amounts_Report'!$D$321,0)</f>
        <v>9346</v>
      </c>
      <c r="E281" s="148">
        <f>ROUND(VLOOKUP(A281,'Contribution Allocation_Report'!$A$9:$D$314,4,FALSE)*'OPEB Amounts_Report'!$E$321,0)</f>
        <v>221141</v>
      </c>
      <c r="F281" s="148">
        <f>INDEX('Change in Proportion Layers'!$AE$8:$AE$320,MATCH('OPEB Amounts_Report'!A281,'Change in Proportion Layers'!$A$8:$A$320,0))</f>
        <v>215366</v>
      </c>
      <c r="G281" s="148">
        <f t="shared" si="22"/>
        <v>445853</v>
      </c>
      <c r="H281" s="148"/>
      <c r="I281" s="148">
        <f>ROUND(VLOOKUP(A281,'Contribution Allocation_Report'!$A$9:$D$314,4,FALSE)*'OPEB Amounts_Report'!$I$321,0)</f>
        <v>264057</v>
      </c>
      <c r="J281" s="148">
        <f>ROUND(VLOOKUP(A281,'Contribution Allocation_Report'!$A$9:$D$314,4,FALSE)*'OPEB Amounts_Report'!$J$321,0)</f>
        <v>23250</v>
      </c>
      <c r="K281" s="148">
        <f>ROUND(VLOOKUP(A281,'Contribution Allocation_Report'!$A$9:$D$314,4,FALSE)*$K$321,0)</f>
        <v>708761</v>
      </c>
      <c r="L281" s="148">
        <f>INDEX('Change in Proportion Layers'!$AF$8:$AF$320,MATCH('OPEB Amounts_Report'!A281,'Change in Proportion Layers'!$A$8:$A$320,0))</f>
        <v>330360</v>
      </c>
      <c r="M281" s="148">
        <f t="shared" si="25"/>
        <v>1326428</v>
      </c>
      <c r="N281" s="220"/>
      <c r="O281" s="220">
        <f>ROUND(VLOOKUP(A281,'Contribution Allocation_Report'!$A$9:$D$314,4,FALSE)*'OPEB Amounts_Report'!$O$321,0)</f>
        <v>-262790</v>
      </c>
      <c r="P281" s="220">
        <f>INDEX('Change in Proportion Layers'!$AC$8:$AC$320,MATCH('OPEB Amounts_Report'!A281,'Change in Proportion Layers'!$A$8:$A$320,0))</f>
        <v>-48311</v>
      </c>
      <c r="Q281" s="220">
        <f t="shared" si="26"/>
        <v>-311101</v>
      </c>
    </row>
    <row r="282" spans="1:17" ht="12" customHeight="1">
      <c r="A282" s="51">
        <v>4290</v>
      </c>
      <c r="B282" s="55" t="s">
        <v>261</v>
      </c>
      <c r="C282" s="147">
        <f>ROUND(VLOOKUP(A282,'Contribution Allocation_Report'!$A$9:$D$314,4,FALSE)*'OPEB Amounts_Report'!$C$321,0)</f>
        <v>940824</v>
      </c>
      <c r="D282" s="147">
        <f>ROUND(VLOOKUP(A282,'Contribution Allocation_Report'!$A$9:$D$314,4,FALSE)*'OPEB Amounts_Report'!$D$321,0)</f>
        <v>5722</v>
      </c>
      <c r="E282" s="147">
        <f>ROUND(VLOOKUP(A282,'Contribution Allocation_Report'!$A$9:$D$314,4,FALSE)*'OPEB Amounts_Report'!$E$321,0)</f>
        <v>135384</v>
      </c>
      <c r="F282" s="147">
        <f>INDEX('Change in Proportion Layers'!$AE$8:$AE$320,MATCH('OPEB Amounts_Report'!A282,'Change in Proportion Layers'!$A$8:$A$320,0))</f>
        <v>564251</v>
      </c>
      <c r="G282" s="147">
        <f t="shared" si="22"/>
        <v>705357</v>
      </c>
      <c r="H282" s="147"/>
      <c r="I282" s="147">
        <f>ROUND(VLOOKUP(A282,'Contribution Allocation_Report'!$A$9:$D$314,4,FALSE)*'OPEB Amounts_Report'!$I$321,0)</f>
        <v>161657</v>
      </c>
      <c r="J282" s="147">
        <f>ROUND(VLOOKUP(A282,'Contribution Allocation_Report'!$A$9:$D$314,4,FALSE)*'OPEB Amounts_Report'!$J$321,0)</f>
        <v>14234</v>
      </c>
      <c r="K282" s="147">
        <f>ROUND(VLOOKUP(A282,'Contribution Allocation_Report'!$A$9:$D$314,4,FALSE)*$K$321,0)</f>
        <v>433907</v>
      </c>
      <c r="L282" s="147">
        <f>INDEX('Change in Proportion Layers'!$AF$8:$AF$320,MATCH('OPEB Amounts_Report'!A282,'Change in Proportion Layers'!$A$8:$A$320,0))</f>
        <v>0</v>
      </c>
      <c r="M282" s="147">
        <f t="shared" si="25"/>
        <v>609798</v>
      </c>
      <c r="N282" s="221"/>
      <c r="O282" s="221">
        <f>ROUND(VLOOKUP(A282,'Contribution Allocation_Report'!$A$9:$D$314,4,FALSE)*'OPEB Amounts_Report'!$O$321,0)</f>
        <v>-160881</v>
      </c>
      <c r="P282" s="221">
        <f>INDEX('Change in Proportion Layers'!$AC$8:$AC$320,MATCH('OPEB Amounts_Report'!A282,'Change in Proportion Layers'!$A$8:$A$320,0))</f>
        <v>136522</v>
      </c>
      <c r="Q282" s="221">
        <f t="shared" si="26"/>
        <v>-24359</v>
      </c>
    </row>
    <row r="283" spans="1:17" ht="12" customHeight="1">
      <c r="A283" s="53">
        <v>2270</v>
      </c>
      <c r="B283" s="54" t="s">
        <v>262</v>
      </c>
      <c r="C283" s="148">
        <f>ROUND(VLOOKUP(A283,'Contribution Allocation_Report'!$A$9:$D$314,4,FALSE)*'OPEB Amounts_Report'!$C$321,0)</f>
        <v>21970</v>
      </c>
      <c r="D283" s="148">
        <f>ROUND(VLOOKUP(A283,'Contribution Allocation_Report'!$A$9:$D$314,4,FALSE)*'OPEB Amounts_Report'!$D$321,0)</f>
        <v>134</v>
      </c>
      <c r="E283" s="148">
        <f>ROUND(VLOOKUP(A283,'Contribution Allocation_Report'!$A$9:$D$314,4,FALSE)*'OPEB Amounts_Report'!$E$321,0)</f>
        <v>3162</v>
      </c>
      <c r="F283" s="148">
        <f>INDEX('Change in Proportion Layers'!$AE$8:$AE$320,MATCH('OPEB Amounts_Report'!A283,'Change in Proportion Layers'!$A$8:$A$320,0))</f>
        <v>38</v>
      </c>
      <c r="G283" s="148">
        <f t="shared" si="22"/>
        <v>3334</v>
      </c>
      <c r="H283" s="148"/>
      <c r="I283" s="148">
        <f>ROUND(VLOOKUP(A283,'Contribution Allocation_Report'!$A$9:$D$314,4,FALSE)*'OPEB Amounts_Report'!$I$321,0)</f>
        <v>3775</v>
      </c>
      <c r="J283" s="148">
        <f>ROUND(VLOOKUP(A283,'Contribution Allocation_Report'!$A$9:$D$314,4,FALSE)*'OPEB Amounts_Report'!$J$321,0)</f>
        <v>332</v>
      </c>
      <c r="K283" s="148">
        <f>ROUND(VLOOKUP(A283,'Contribution Allocation_Report'!$A$9:$D$314,4,FALSE)*$K$321,0)</f>
        <v>10133</v>
      </c>
      <c r="L283" s="148">
        <f>INDEX('Change in Proportion Layers'!$AF$8:$AF$320,MATCH('OPEB Amounts_Report'!A283,'Change in Proportion Layers'!$A$8:$A$320,0))</f>
        <v>14345</v>
      </c>
      <c r="M283" s="148">
        <f t="shared" si="25"/>
        <v>28585</v>
      </c>
      <c r="N283" s="220"/>
      <c r="O283" s="220">
        <f>ROUND(VLOOKUP(A283,'Contribution Allocation_Report'!$A$9:$D$314,4,FALSE)*'OPEB Amounts_Report'!$O$321,0)</f>
        <v>-3757</v>
      </c>
      <c r="P283" s="220">
        <f>INDEX('Change in Proportion Layers'!$AC$8:$AC$320,MATCH('OPEB Amounts_Report'!A283,'Change in Proportion Layers'!$A$8:$A$320,0))</f>
        <v>-14112</v>
      </c>
      <c r="Q283" s="220">
        <f t="shared" si="26"/>
        <v>-17869</v>
      </c>
    </row>
    <row r="284" spans="1:17" ht="12" customHeight="1">
      <c r="A284" s="51">
        <v>2300</v>
      </c>
      <c r="B284" s="55" t="s">
        <v>263</v>
      </c>
      <c r="C284" s="147">
        <f>ROUND(VLOOKUP(A284,'Contribution Allocation_Report'!$A$9:$D$314,4,FALSE)*'OPEB Amounts_Report'!$C$321,0)</f>
        <v>216513</v>
      </c>
      <c r="D284" s="147">
        <f>ROUND(VLOOKUP(A284,'Contribution Allocation_Report'!$A$9:$D$314,4,FALSE)*'OPEB Amounts_Report'!$D$321,0)</f>
        <v>1317</v>
      </c>
      <c r="E284" s="147">
        <f>ROUND(VLOOKUP(A284,'Contribution Allocation_Report'!$A$9:$D$314,4,FALSE)*'OPEB Amounts_Report'!$E$321,0)</f>
        <v>31156</v>
      </c>
      <c r="F284" s="147">
        <f>INDEX('Change in Proportion Layers'!$AE$8:$AE$320,MATCH('OPEB Amounts_Report'!A284,'Change in Proportion Layers'!$A$8:$A$320,0))</f>
        <v>142579</v>
      </c>
      <c r="G284" s="147">
        <f t="shared" si="22"/>
        <v>175052</v>
      </c>
      <c r="H284" s="147"/>
      <c r="I284" s="147">
        <f>ROUND(VLOOKUP(A284,'Contribution Allocation_Report'!$A$9:$D$314,4,FALSE)*'OPEB Amounts_Report'!$I$321,0)</f>
        <v>37202</v>
      </c>
      <c r="J284" s="147">
        <f>ROUND(VLOOKUP(A284,'Contribution Allocation_Report'!$A$9:$D$314,4,FALSE)*'OPEB Amounts_Report'!$J$321,0)</f>
        <v>3276</v>
      </c>
      <c r="K284" s="147">
        <f>ROUND(VLOOKUP(A284,'Contribution Allocation_Report'!$A$9:$D$314,4,FALSE)*$K$321,0)</f>
        <v>99855</v>
      </c>
      <c r="L284" s="147">
        <f>INDEX('Change in Proportion Layers'!$AF$8:$AF$320,MATCH('OPEB Amounts_Report'!A284,'Change in Proportion Layers'!$A$8:$A$320,0))</f>
        <v>60163</v>
      </c>
      <c r="M284" s="147">
        <f t="shared" si="25"/>
        <v>200496</v>
      </c>
      <c r="N284" s="221"/>
      <c r="O284" s="221">
        <f>ROUND(VLOOKUP(A284,'Contribution Allocation_Report'!$A$9:$D$314,4,FALSE)*'OPEB Amounts_Report'!$O$321,0)</f>
        <v>-37024</v>
      </c>
      <c r="P284" s="221">
        <f>INDEX('Change in Proportion Layers'!$AC$8:$AC$320,MATCH('OPEB Amounts_Report'!A284,'Change in Proportion Layers'!$A$8:$A$320,0))</f>
        <v>26517</v>
      </c>
      <c r="Q284" s="221">
        <f t="shared" si="26"/>
        <v>-10507</v>
      </c>
    </row>
    <row r="285" spans="1:17" ht="12" customHeight="1">
      <c r="A285" s="53">
        <v>2720</v>
      </c>
      <c r="B285" s="54" t="s">
        <v>264</v>
      </c>
      <c r="C285" s="148">
        <f>ROUND(VLOOKUP(A285,'Contribution Allocation_Report'!$A$9:$D$314,4,FALSE)*'OPEB Amounts_Report'!$C$321,0)</f>
        <v>2022917</v>
      </c>
      <c r="D285" s="148">
        <f>ROUND(VLOOKUP(A285,'Contribution Allocation_Report'!$A$9:$D$314,4,FALSE)*'OPEB Amounts_Report'!$D$321,0)</f>
        <v>12303</v>
      </c>
      <c r="E285" s="148">
        <f>ROUND(VLOOKUP(A285,'Contribution Allocation_Report'!$A$9:$D$314,4,FALSE)*'OPEB Amounts_Report'!$E$321,0)</f>
        <v>291096</v>
      </c>
      <c r="F285" s="148">
        <f>INDEX('Change in Proportion Layers'!$AE$8:$AE$320,MATCH('OPEB Amounts_Report'!A285,'Change in Proportion Layers'!$A$8:$A$320,0))</f>
        <v>67985</v>
      </c>
      <c r="G285" s="148">
        <f t="shared" si="22"/>
        <v>371384</v>
      </c>
      <c r="H285" s="148"/>
      <c r="I285" s="148">
        <f>ROUND(VLOOKUP(A285,'Contribution Allocation_Report'!$A$9:$D$314,4,FALSE)*'OPEB Amounts_Report'!$I$321,0)</f>
        <v>347588</v>
      </c>
      <c r="J285" s="148">
        <f>ROUND(VLOOKUP(A285,'Contribution Allocation_Report'!$A$9:$D$314,4,FALSE)*'OPEB Amounts_Report'!$J$321,0)</f>
        <v>30605</v>
      </c>
      <c r="K285" s="148">
        <f>ROUND(VLOOKUP(A285,'Contribution Allocation_Report'!$A$9:$D$314,4,FALSE)*$K$321,0)</f>
        <v>932967</v>
      </c>
      <c r="L285" s="148">
        <f>INDEX('Change in Proportion Layers'!$AF$8:$AF$320,MATCH('OPEB Amounts_Report'!A285,'Change in Proportion Layers'!$A$8:$A$320,0))</f>
        <v>164886</v>
      </c>
      <c r="M285" s="148">
        <f t="shared" si="25"/>
        <v>1476046</v>
      </c>
      <c r="N285" s="220"/>
      <c r="O285" s="220">
        <f>ROUND(VLOOKUP(A285,'Contribution Allocation_Report'!$A$9:$D$314,4,FALSE)*'OPEB Amounts_Report'!$O$321,0)</f>
        <v>-345919</v>
      </c>
      <c r="P285" s="220">
        <f>INDEX('Change in Proportion Layers'!$AC$8:$AC$320,MATCH('OPEB Amounts_Report'!A285,'Change in Proportion Layers'!$A$8:$A$320,0))</f>
        <v>-96340</v>
      </c>
      <c r="Q285" s="220">
        <f t="shared" si="26"/>
        <v>-442259</v>
      </c>
    </row>
    <row r="286" spans="1:17" ht="12" customHeight="1">
      <c r="A286" s="51">
        <v>2750</v>
      </c>
      <c r="B286" s="55" t="s">
        <v>265</v>
      </c>
      <c r="C286" s="147">
        <f>ROUND(VLOOKUP(A286,'Contribution Allocation_Report'!$A$9:$D$314,4,FALSE)*'OPEB Amounts_Report'!$C$321,0)</f>
        <v>132304</v>
      </c>
      <c r="D286" s="147">
        <f>ROUND(VLOOKUP(A286,'Contribution Allocation_Report'!$A$9:$D$314,4,FALSE)*'OPEB Amounts_Report'!$D$321,0)</f>
        <v>805</v>
      </c>
      <c r="E286" s="147">
        <f>ROUND(VLOOKUP(A286,'Contribution Allocation_Report'!$A$9:$D$314,4,FALSE)*'OPEB Amounts_Report'!$E$321,0)</f>
        <v>19038</v>
      </c>
      <c r="F286" s="147">
        <f>INDEX('Change in Proportion Layers'!$AE$8:$AE$320,MATCH('OPEB Amounts_Report'!A286,'Change in Proportion Layers'!$A$8:$A$320,0))</f>
        <v>34199</v>
      </c>
      <c r="G286" s="147">
        <f t="shared" si="22"/>
        <v>54042</v>
      </c>
      <c r="H286" s="147"/>
      <c r="I286" s="147">
        <f>ROUND(VLOOKUP(A286,'Contribution Allocation_Report'!$A$9:$D$314,4,FALSE)*'OPEB Amounts_Report'!$I$321,0)</f>
        <v>22733</v>
      </c>
      <c r="J286" s="147">
        <f>ROUND(VLOOKUP(A286,'Contribution Allocation_Report'!$A$9:$D$314,4,FALSE)*'OPEB Amounts_Report'!$J$321,0)</f>
        <v>2002</v>
      </c>
      <c r="K286" s="147">
        <f>ROUND(VLOOKUP(A286,'Contribution Allocation_Report'!$A$9:$D$314,4,FALSE)*$K$321,0)</f>
        <v>61019</v>
      </c>
      <c r="L286" s="147">
        <f>INDEX('Change in Proportion Layers'!$AF$8:$AF$320,MATCH('OPEB Amounts_Report'!A286,'Change in Proportion Layers'!$A$8:$A$320,0))</f>
        <v>57838</v>
      </c>
      <c r="M286" s="147">
        <f t="shared" si="25"/>
        <v>143592</v>
      </c>
      <c r="N286" s="221"/>
      <c r="O286" s="221">
        <f>ROUND(VLOOKUP(A286,'Contribution Allocation_Report'!$A$9:$D$314,4,FALSE)*'OPEB Amounts_Report'!$O$321,0)</f>
        <v>-22624</v>
      </c>
      <c r="P286" s="221">
        <f>INDEX('Change in Proportion Layers'!$AC$8:$AC$320,MATCH('OPEB Amounts_Report'!A286,'Change in Proportion Layers'!$A$8:$A$320,0))</f>
        <v>-3052</v>
      </c>
      <c r="Q286" s="221">
        <f t="shared" si="26"/>
        <v>-25676</v>
      </c>
    </row>
    <row r="287" spans="1:17" ht="12" customHeight="1">
      <c r="A287" s="53">
        <v>2770</v>
      </c>
      <c r="B287" s="54" t="s">
        <v>266</v>
      </c>
      <c r="C287" s="148">
        <f>ROUND(VLOOKUP(A287,'Contribution Allocation_Report'!$A$9:$D$314,4,FALSE)*'OPEB Amounts_Report'!$C$321,0)</f>
        <v>1918277</v>
      </c>
      <c r="D287" s="148">
        <f>ROUND(VLOOKUP(A287,'Contribution Allocation_Report'!$A$9:$D$314,4,FALSE)*'OPEB Amounts_Report'!$D$321,0)</f>
        <v>11666</v>
      </c>
      <c r="E287" s="148">
        <f>ROUND(VLOOKUP(A287,'Contribution Allocation_Report'!$A$9:$D$314,4,FALSE)*'OPEB Amounts_Report'!$E$321,0)</f>
        <v>276038</v>
      </c>
      <c r="F287" s="148">
        <f>INDEX('Change in Proportion Layers'!$AE$8:$AE$320,MATCH('OPEB Amounts_Report'!A287,'Change in Proportion Layers'!$A$8:$A$320,0))</f>
        <v>397310</v>
      </c>
      <c r="G287" s="148">
        <f t="shared" si="22"/>
        <v>685014</v>
      </c>
      <c r="H287" s="148"/>
      <c r="I287" s="148">
        <f>ROUND(VLOOKUP(A287,'Contribution Allocation_Report'!$A$9:$D$314,4,FALSE)*'OPEB Amounts_Report'!$I$321,0)</f>
        <v>329608</v>
      </c>
      <c r="J287" s="148">
        <f>ROUND(VLOOKUP(A287,'Contribution Allocation_Report'!$A$9:$D$314,4,FALSE)*'OPEB Amounts_Report'!$J$321,0)</f>
        <v>29022</v>
      </c>
      <c r="K287" s="148">
        <f>ROUND(VLOOKUP(A287,'Contribution Allocation_Report'!$A$9:$D$314,4,FALSE)*$K$321,0)</f>
        <v>884707</v>
      </c>
      <c r="L287" s="148">
        <f>INDEX('Change in Proportion Layers'!$AF$8:$AF$320,MATCH('OPEB Amounts_Report'!A287,'Change in Proportion Layers'!$A$8:$A$320,0))</f>
        <v>102722</v>
      </c>
      <c r="M287" s="148">
        <f t="shared" si="25"/>
        <v>1346059</v>
      </c>
      <c r="N287" s="220"/>
      <c r="O287" s="220">
        <f>ROUND(VLOOKUP(A287,'Contribution Allocation_Report'!$A$9:$D$314,4,FALSE)*'OPEB Amounts_Report'!$O$321,0)</f>
        <v>-328026</v>
      </c>
      <c r="P287" s="220">
        <f>INDEX('Change in Proportion Layers'!$AC$8:$AC$320,MATCH('OPEB Amounts_Report'!A287,'Change in Proportion Layers'!$A$8:$A$320,0))</f>
        <v>-41744</v>
      </c>
      <c r="Q287" s="220">
        <f t="shared" si="26"/>
        <v>-369770</v>
      </c>
    </row>
    <row r="288" spans="1:17" ht="12" customHeight="1">
      <c r="A288" s="51">
        <v>32106</v>
      </c>
      <c r="B288" s="55" t="s">
        <v>267</v>
      </c>
      <c r="C288" s="147">
        <f>ROUND(VLOOKUP(A288,'Contribution Allocation_Report'!$A$9:$D$314,4,FALSE)*'OPEB Amounts_Report'!$C$321,0)</f>
        <v>145184</v>
      </c>
      <c r="D288" s="147">
        <f>ROUND(VLOOKUP(A288,'Contribution Allocation_Report'!$A$9:$D$314,4,FALSE)*'OPEB Amounts_Report'!$D$321,0)</f>
        <v>883</v>
      </c>
      <c r="E288" s="147">
        <f>ROUND(VLOOKUP(A288,'Contribution Allocation_Report'!$A$9:$D$314,4,FALSE)*'OPEB Amounts_Report'!$E$321,0)</f>
        <v>20892</v>
      </c>
      <c r="F288" s="147">
        <f>INDEX('Change in Proportion Layers'!$AE$8:$AE$320,MATCH('OPEB Amounts_Report'!A288,'Change in Proportion Layers'!$A$8:$A$320,0))</f>
        <v>105949</v>
      </c>
      <c r="G288" s="147">
        <f t="shared" si="22"/>
        <v>127724</v>
      </c>
      <c r="H288" s="147"/>
      <c r="I288" s="147">
        <f>ROUND(VLOOKUP(A288,'Contribution Allocation_Report'!$A$9:$D$314,4,FALSE)*'OPEB Amounts_Report'!$I$321,0)</f>
        <v>24946</v>
      </c>
      <c r="J288" s="147">
        <f>ROUND(VLOOKUP(A288,'Contribution Allocation_Report'!$A$9:$D$314,4,FALSE)*'OPEB Amounts_Report'!$J$321,0)</f>
        <v>2196</v>
      </c>
      <c r="K288" s="147">
        <f>ROUND(VLOOKUP(A288,'Contribution Allocation_Report'!$A$9:$D$314,4,FALSE)*$K$321,0)</f>
        <v>66959</v>
      </c>
      <c r="L288" s="147">
        <f>INDEX('Change in Proportion Layers'!$AF$8:$AF$320,MATCH('OPEB Amounts_Report'!A288,'Change in Proportion Layers'!$A$8:$A$320,0))</f>
        <v>189836</v>
      </c>
      <c r="M288" s="147">
        <f t="shared" si="25"/>
        <v>283937</v>
      </c>
      <c r="N288" s="221"/>
      <c r="O288" s="221">
        <f>ROUND(VLOOKUP(A288,'Contribution Allocation_Report'!$A$9:$D$314,4,FALSE)*'OPEB Amounts_Report'!$O$321,0)</f>
        <v>-24826</v>
      </c>
      <c r="P288" s="221">
        <f>INDEX('Change in Proportion Layers'!$AC$8:$AC$320,MATCH('OPEB Amounts_Report'!A288,'Change in Proportion Layers'!$A$8:$A$320,0))</f>
        <v>-32786</v>
      </c>
      <c r="Q288" s="221">
        <f t="shared" si="26"/>
        <v>-57612</v>
      </c>
    </row>
    <row r="289" spans="1:17" ht="12" customHeight="1">
      <c r="A289" s="53">
        <v>4180</v>
      </c>
      <c r="B289" s="54" t="s">
        <v>268</v>
      </c>
      <c r="C289" s="148">
        <f>ROUND(VLOOKUP(A289,'Contribution Allocation_Report'!$A$9:$D$314,4,FALSE)*'OPEB Amounts_Report'!$C$321,0)</f>
        <v>199937</v>
      </c>
      <c r="D289" s="148">
        <f>ROUND(VLOOKUP(A289,'Contribution Allocation_Report'!$A$9:$D$314,4,FALSE)*'OPEB Amounts_Report'!$D$321,0)</f>
        <v>1216</v>
      </c>
      <c r="E289" s="148">
        <f>ROUND(VLOOKUP(A289,'Contribution Allocation_Report'!$A$9:$D$314,4,FALSE)*'OPEB Amounts_Report'!$E$321,0)</f>
        <v>28771</v>
      </c>
      <c r="F289" s="148">
        <f>INDEX('Change in Proportion Layers'!$AE$8:$AE$320,MATCH('OPEB Amounts_Report'!A289,'Change in Proportion Layers'!$A$8:$A$320,0))</f>
        <v>37875</v>
      </c>
      <c r="G289" s="148">
        <f t="shared" si="22"/>
        <v>67862</v>
      </c>
      <c r="H289" s="148"/>
      <c r="I289" s="148">
        <f>ROUND(VLOOKUP(A289,'Contribution Allocation_Report'!$A$9:$D$314,4,FALSE)*'OPEB Amounts_Report'!$I$321,0)</f>
        <v>34354</v>
      </c>
      <c r="J289" s="148">
        <f>ROUND(VLOOKUP(A289,'Contribution Allocation_Report'!$A$9:$D$314,4,FALSE)*'OPEB Amounts_Report'!$J$321,0)</f>
        <v>3025</v>
      </c>
      <c r="K289" s="148">
        <f>ROUND(VLOOKUP(A289,'Contribution Allocation_Report'!$A$9:$D$314,4,FALSE)*$K$321,0)</f>
        <v>92211</v>
      </c>
      <c r="L289" s="148">
        <f>INDEX('Change in Proportion Layers'!$AF$8:$AF$320,MATCH('OPEB Amounts_Report'!A289,'Change in Proportion Layers'!$A$8:$A$320,0))</f>
        <v>67211</v>
      </c>
      <c r="M289" s="148">
        <f t="shared" si="25"/>
        <v>196801</v>
      </c>
      <c r="N289" s="220"/>
      <c r="O289" s="220">
        <f>ROUND(VLOOKUP(A289,'Contribution Allocation_Report'!$A$9:$D$314,4,FALSE)*'OPEB Amounts_Report'!$O$321,0)</f>
        <v>-34189</v>
      </c>
      <c r="P289" s="220">
        <f>INDEX('Change in Proportion Layers'!$AC$8:$AC$320,MATCH('OPEB Amounts_Report'!A289,'Change in Proportion Layers'!$A$8:$A$320,0))</f>
        <v>-15097</v>
      </c>
      <c r="Q289" s="220">
        <f t="shared" si="26"/>
        <v>-49286</v>
      </c>
    </row>
    <row r="290" spans="1:17" ht="12" customHeight="1">
      <c r="A290" s="51">
        <v>21063</v>
      </c>
      <c r="B290" s="55" t="s">
        <v>269</v>
      </c>
      <c r="C290" s="147">
        <f>ROUND(VLOOKUP(A290,'Contribution Allocation_Report'!$A$9:$D$314,4,FALSE)*'OPEB Amounts_Report'!$C$321,0)</f>
        <v>2992346</v>
      </c>
      <c r="D290" s="147">
        <f>ROUND(VLOOKUP(A290,'Contribution Allocation_Report'!$A$9:$D$314,4,FALSE)*'OPEB Amounts_Report'!$D$321,0)</f>
        <v>18199</v>
      </c>
      <c r="E290" s="147">
        <f>ROUND(VLOOKUP(A290,'Contribution Allocation_Report'!$A$9:$D$314,4,FALSE)*'OPEB Amounts_Report'!$E$321,0)</f>
        <v>430596</v>
      </c>
      <c r="F290" s="147">
        <f>INDEX('Change in Proportion Layers'!$AE$8:$AE$320,MATCH('OPEB Amounts_Report'!A290,'Change in Proportion Layers'!$A$8:$A$320,0))</f>
        <v>338033</v>
      </c>
      <c r="G290" s="147">
        <f t="shared" si="22"/>
        <v>786828</v>
      </c>
      <c r="H290" s="147"/>
      <c r="I290" s="147">
        <f>ROUND(VLOOKUP(A290,'Contribution Allocation_Report'!$A$9:$D$314,4,FALSE)*'OPEB Amounts_Report'!$I$321,0)</f>
        <v>514160</v>
      </c>
      <c r="J290" s="147">
        <f>ROUND(VLOOKUP(A290,'Contribution Allocation_Report'!$A$9:$D$314,4,FALSE)*'OPEB Amounts_Report'!$J$321,0)</f>
        <v>45271</v>
      </c>
      <c r="K290" s="147">
        <f>ROUND(VLOOKUP(A290,'Contribution Allocation_Report'!$A$9:$D$314,4,FALSE)*$K$321,0)</f>
        <v>1380067</v>
      </c>
      <c r="L290" s="147">
        <f>INDEX('Change in Proportion Layers'!$AF$8:$AF$320,MATCH('OPEB Amounts_Report'!A290,'Change in Proportion Layers'!$A$8:$A$320,0))</f>
        <v>205224</v>
      </c>
      <c r="M290" s="147">
        <f t="shared" si="25"/>
        <v>2144722</v>
      </c>
      <c r="N290" s="221"/>
      <c r="O290" s="221">
        <f>ROUND(VLOOKUP(A290,'Contribution Allocation_Report'!$A$9:$D$314,4,FALSE)*'OPEB Amounts_Report'!$O$321,0)</f>
        <v>-511692</v>
      </c>
      <c r="P290" s="221">
        <f>INDEX('Change in Proportion Layers'!$AC$8:$AC$320,MATCH('OPEB Amounts_Report'!A290,'Change in Proportion Layers'!$A$8:$A$320,0))</f>
        <v>32903</v>
      </c>
      <c r="Q290" s="221">
        <f t="shared" si="26"/>
        <v>-478789</v>
      </c>
    </row>
    <row r="291" spans="1:17" ht="12" customHeight="1">
      <c r="A291" s="53">
        <v>10033</v>
      </c>
      <c r="B291" s="54" t="s">
        <v>270</v>
      </c>
      <c r="C291" s="148">
        <f>ROUND(VLOOKUP(A291,'Contribution Allocation_Report'!$A$9:$D$314,4,FALSE)*'OPEB Amounts_Report'!$C$321,0)</f>
        <v>1920802</v>
      </c>
      <c r="D291" s="148">
        <f>ROUND(VLOOKUP(A291,'Contribution Allocation_Report'!$A$9:$D$314,4,FALSE)*'OPEB Amounts_Report'!$D$321,0)</f>
        <v>11682</v>
      </c>
      <c r="E291" s="148">
        <f>ROUND(VLOOKUP(A291,'Contribution Allocation_Report'!$A$9:$D$314,4,FALSE)*'OPEB Amounts_Report'!$E$321,0)</f>
        <v>276402</v>
      </c>
      <c r="F291" s="148">
        <f>INDEX('Change in Proportion Layers'!$AE$8:$AE$320,MATCH('OPEB Amounts_Report'!A291,'Change in Proportion Layers'!$A$8:$A$320,0))</f>
        <v>86153</v>
      </c>
      <c r="G291" s="148">
        <f t="shared" si="22"/>
        <v>374237</v>
      </c>
      <c r="H291" s="148"/>
      <c r="I291" s="148">
        <f>ROUND(VLOOKUP(A291,'Contribution Allocation_Report'!$A$9:$D$314,4,FALSE)*'OPEB Amounts_Report'!$I$321,0)</f>
        <v>330042</v>
      </c>
      <c r="J291" s="148">
        <f>ROUND(VLOOKUP(A291,'Contribution Allocation_Report'!$A$9:$D$314,4,FALSE)*'OPEB Amounts_Report'!$J$321,0)</f>
        <v>29060</v>
      </c>
      <c r="K291" s="148">
        <f>ROUND(VLOOKUP(A291,'Contribution Allocation_Report'!$A$9:$D$314,4,FALSE)*$K$321,0)</f>
        <v>885872</v>
      </c>
      <c r="L291" s="148">
        <f>INDEX('Change in Proportion Layers'!$AF$8:$AF$320,MATCH('OPEB Amounts_Report'!A291,'Change in Proportion Layers'!$A$8:$A$320,0))</f>
        <v>249141</v>
      </c>
      <c r="M291" s="148">
        <f t="shared" si="25"/>
        <v>1494115</v>
      </c>
      <c r="N291" s="220"/>
      <c r="O291" s="220">
        <f>ROUND(VLOOKUP(A291,'Contribution Allocation_Report'!$A$9:$D$314,4,FALSE)*'OPEB Amounts_Report'!$O$321,0)</f>
        <v>-328457</v>
      </c>
      <c r="P291" s="220">
        <f>INDEX('Change in Proportion Layers'!$AC$8:$AC$320,MATCH('OPEB Amounts_Report'!A291,'Change in Proportion Layers'!$A$8:$A$320,0))</f>
        <v>-45814</v>
      </c>
      <c r="Q291" s="220">
        <f t="shared" si="26"/>
        <v>-374271</v>
      </c>
    </row>
    <row r="292" spans="1:17" ht="12" customHeight="1">
      <c r="A292" s="51">
        <v>15049</v>
      </c>
      <c r="B292" s="55" t="s">
        <v>271</v>
      </c>
      <c r="C292" s="147">
        <f>ROUND(VLOOKUP(A292,'Contribution Allocation_Report'!$A$9:$D$314,4,FALSE)*'OPEB Amounts_Report'!$C$321,0)</f>
        <v>2112877</v>
      </c>
      <c r="D292" s="147">
        <f>ROUND(VLOOKUP(A292,'Contribution Allocation_Report'!$A$9:$D$314,4,FALSE)*'OPEB Amounts_Report'!$D$321,0)</f>
        <v>12850</v>
      </c>
      <c r="E292" s="147">
        <f>ROUND(VLOOKUP(A292,'Contribution Allocation_Report'!$A$9:$D$314,4,FALSE)*'OPEB Amounts_Report'!$E$321,0)</f>
        <v>304041</v>
      </c>
      <c r="F292" s="147">
        <f>INDEX('Change in Proportion Layers'!$AE$8:$AE$320,MATCH('OPEB Amounts_Report'!A292,'Change in Proportion Layers'!$A$8:$A$320,0))</f>
        <v>337061</v>
      </c>
      <c r="G292" s="147">
        <f t="shared" si="22"/>
        <v>653952</v>
      </c>
      <c r="H292" s="147"/>
      <c r="I292" s="147">
        <f>ROUND(VLOOKUP(A292,'Contribution Allocation_Report'!$A$9:$D$314,4,FALSE)*'OPEB Amounts_Report'!$I$321,0)</f>
        <v>363045</v>
      </c>
      <c r="J292" s="147">
        <f>ROUND(VLOOKUP(A292,'Contribution Allocation_Report'!$A$9:$D$314,4,FALSE)*'OPEB Amounts_Report'!$J$321,0)</f>
        <v>31966</v>
      </c>
      <c r="K292" s="147">
        <f>ROUND(VLOOKUP(A292,'Contribution Allocation_Report'!$A$9:$D$314,4,FALSE)*$K$321,0)</f>
        <v>974456</v>
      </c>
      <c r="L292" s="147">
        <f>INDEX('Change in Proportion Layers'!$AF$8:$AF$320,MATCH('OPEB Amounts_Report'!A292,'Change in Proportion Layers'!$A$8:$A$320,0))</f>
        <v>349209</v>
      </c>
      <c r="M292" s="147">
        <f t="shared" si="25"/>
        <v>1718676</v>
      </c>
      <c r="N292" s="221"/>
      <c r="O292" s="221">
        <f>ROUND(VLOOKUP(A292,'Contribution Allocation_Report'!$A$9:$D$314,4,FALSE)*'OPEB Amounts_Report'!$O$321,0)</f>
        <v>-361302</v>
      </c>
      <c r="P292" s="221">
        <f>INDEX('Change in Proportion Layers'!$AC$8:$AC$320,MATCH('OPEB Amounts_Report'!A292,'Change in Proportion Layers'!$A$8:$A$320,0))</f>
        <v>35055</v>
      </c>
      <c r="Q292" s="221">
        <f t="shared" si="26"/>
        <v>-326247</v>
      </c>
    </row>
    <row r="293" spans="1:17" ht="12" customHeight="1">
      <c r="A293" s="53">
        <v>1315</v>
      </c>
      <c r="B293" s="54" t="s">
        <v>272</v>
      </c>
      <c r="C293" s="148">
        <f>ROUND(VLOOKUP(A293,'Contribution Allocation_Report'!$A$9:$D$314,4,FALSE)*'OPEB Amounts_Report'!$C$321,0)</f>
        <v>1215936</v>
      </c>
      <c r="D293" s="148">
        <f>ROUND(VLOOKUP(A293,'Contribution Allocation_Report'!$A$9:$D$314,4,FALSE)*'OPEB Amounts_Report'!$D$321,0)</f>
        <v>7395</v>
      </c>
      <c r="E293" s="148">
        <f>ROUND(VLOOKUP(A293,'Contribution Allocation_Report'!$A$9:$D$314,4,FALSE)*'OPEB Amounts_Report'!$E$321,0)</f>
        <v>174972</v>
      </c>
      <c r="F293" s="148">
        <f>INDEX('Change in Proportion Layers'!$AE$8:$AE$320,MATCH('OPEB Amounts_Report'!A293,'Change in Proportion Layers'!$A$8:$A$320,0))</f>
        <v>226810</v>
      </c>
      <c r="G293" s="148">
        <f t="shared" si="22"/>
        <v>409177</v>
      </c>
      <c r="H293" s="148"/>
      <c r="I293" s="148">
        <f>ROUND(VLOOKUP(A293,'Contribution Allocation_Report'!$A$9:$D$314,4,FALSE)*'OPEB Amounts_Report'!$I$321,0)</f>
        <v>208928</v>
      </c>
      <c r="J293" s="148">
        <f>ROUND(VLOOKUP(A293,'Contribution Allocation_Report'!$A$9:$D$314,4,FALSE)*'OPEB Amounts_Report'!$J$321,0)</f>
        <v>18396</v>
      </c>
      <c r="K293" s="148">
        <f>ROUND(VLOOKUP(A293,'Contribution Allocation_Report'!$A$9:$D$314,4,FALSE)*$K$321,0)</f>
        <v>560788</v>
      </c>
      <c r="L293" s="148">
        <f>INDEX('Change in Proportion Layers'!$AF$8:$AF$320,MATCH('OPEB Amounts_Report'!A293,'Change in Proportion Layers'!$A$8:$A$320,0))</f>
        <v>257162</v>
      </c>
      <c r="M293" s="148">
        <f t="shared" si="25"/>
        <v>1045274</v>
      </c>
      <c r="N293" s="220"/>
      <c r="O293" s="220">
        <f>ROUND(VLOOKUP(A293,'Contribution Allocation_Report'!$A$9:$D$314,4,FALSE)*'OPEB Amounts_Report'!$O$321,0)</f>
        <v>-207925</v>
      </c>
      <c r="P293" s="220">
        <f>INDEX('Change in Proportion Layers'!$AC$8:$AC$320,MATCH('OPEB Amounts_Report'!A293,'Change in Proportion Layers'!$A$8:$A$320,0))</f>
        <v>136326</v>
      </c>
      <c r="Q293" s="220">
        <f t="shared" si="26"/>
        <v>-71599</v>
      </c>
    </row>
    <row r="294" spans="1:17" ht="12" customHeight="1">
      <c r="A294" s="51">
        <v>3340</v>
      </c>
      <c r="B294" s="55" t="s">
        <v>273</v>
      </c>
      <c r="C294" s="147">
        <f>ROUND(VLOOKUP(A294,'Contribution Allocation_Report'!$A$9:$D$314,4,FALSE)*'OPEB Amounts_Report'!$C$321,0)</f>
        <v>407818</v>
      </c>
      <c r="D294" s="147">
        <f>ROUND(VLOOKUP(A294,'Contribution Allocation_Report'!$A$9:$D$314,4,FALSE)*'OPEB Amounts_Report'!$D$321,0)</f>
        <v>2480</v>
      </c>
      <c r="E294" s="147">
        <f>ROUND(VLOOKUP(A294,'Contribution Allocation_Report'!$A$9:$D$314,4,FALSE)*'OPEB Amounts_Report'!$E$321,0)</f>
        <v>58685</v>
      </c>
      <c r="F294" s="147">
        <f>INDEX('Change in Proportion Layers'!$AE$8:$AE$320,MATCH('OPEB Amounts_Report'!A294,'Change in Proportion Layers'!$A$8:$A$320,0))</f>
        <v>26274</v>
      </c>
      <c r="G294" s="147">
        <f t="shared" si="22"/>
        <v>87439</v>
      </c>
      <c r="H294" s="147"/>
      <c r="I294" s="147">
        <f>ROUND(VLOOKUP(A294,'Contribution Allocation_Report'!$A$9:$D$314,4,FALSE)*'OPEB Amounts_Report'!$I$321,0)</f>
        <v>70073</v>
      </c>
      <c r="J294" s="147">
        <f>ROUND(VLOOKUP(A294,'Contribution Allocation_Report'!$A$9:$D$314,4,FALSE)*'OPEB Amounts_Report'!$J$321,0)</f>
        <v>6170</v>
      </c>
      <c r="K294" s="147">
        <f>ROUND(VLOOKUP(A294,'Contribution Allocation_Report'!$A$9:$D$314,4,FALSE)*$K$321,0)</f>
        <v>188085</v>
      </c>
      <c r="L294" s="147">
        <f>INDEX('Change in Proportion Layers'!$AF$8:$AF$320,MATCH('OPEB Amounts_Report'!A294,'Change in Proportion Layers'!$A$8:$A$320,0))</f>
        <v>166652</v>
      </c>
      <c r="M294" s="147">
        <f t="shared" si="25"/>
        <v>430980</v>
      </c>
      <c r="N294" s="221"/>
      <c r="O294" s="221">
        <f>ROUND(VLOOKUP(A294,'Contribution Allocation_Report'!$A$9:$D$314,4,FALSE)*'OPEB Amounts_Report'!$O$321,0)</f>
        <v>-69737</v>
      </c>
      <c r="P294" s="221">
        <f>INDEX('Change in Proportion Layers'!$AC$8:$AC$320,MATCH('OPEB Amounts_Report'!A294,'Change in Proportion Layers'!$A$8:$A$320,0))</f>
        <v>-64584</v>
      </c>
      <c r="Q294" s="221">
        <f t="shared" si="26"/>
        <v>-134321</v>
      </c>
    </row>
    <row r="295" spans="1:17" ht="12" customHeight="1">
      <c r="A295" s="53">
        <v>3350</v>
      </c>
      <c r="B295" s="54" t="s">
        <v>274</v>
      </c>
      <c r="C295" s="148">
        <f>ROUND(VLOOKUP(A295,'Contribution Allocation_Report'!$A$9:$D$314,4,FALSE)*'OPEB Amounts_Report'!$C$321,0)</f>
        <v>3717794</v>
      </c>
      <c r="D295" s="148">
        <f>ROUND(VLOOKUP(A295,'Contribution Allocation_Report'!$A$9:$D$314,4,FALSE)*'OPEB Amounts_Report'!$D$321,0)</f>
        <v>22611</v>
      </c>
      <c r="E295" s="148">
        <f>ROUND(VLOOKUP(A295,'Contribution Allocation_Report'!$A$9:$D$314,4,FALSE)*'OPEB Amounts_Report'!$E$321,0)</f>
        <v>534987</v>
      </c>
      <c r="F295" s="148">
        <f>INDEX('Change in Proportion Layers'!$AE$8:$AE$320,MATCH('OPEB Amounts_Report'!A295,'Change in Proportion Layers'!$A$8:$A$320,0))</f>
        <v>1446035</v>
      </c>
      <c r="G295" s="148">
        <f t="shared" si="22"/>
        <v>2003633</v>
      </c>
      <c r="H295" s="148"/>
      <c r="I295" s="148">
        <f>ROUND(VLOOKUP(A295,'Contribution Allocation_Report'!$A$9:$D$314,4,FALSE)*'OPEB Amounts_Report'!$I$321,0)</f>
        <v>638810</v>
      </c>
      <c r="J295" s="148">
        <f>ROUND(VLOOKUP(A295,'Contribution Allocation_Report'!$A$9:$D$314,4,FALSE)*'OPEB Amounts_Report'!$J$321,0)</f>
        <v>56247</v>
      </c>
      <c r="K295" s="148">
        <f>ROUND(VLOOKUP(A295,'Contribution Allocation_Report'!$A$9:$D$314,4,FALSE)*$K$321,0)</f>
        <v>1714642</v>
      </c>
      <c r="L295" s="148">
        <f>INDEX('Change in Proportion Layers'!$AF$8:$AF$320,MATCH('OPEB Amounts_Report'!A295,'Change in Proportion Layers'!$A$8:$A$320,0))</f>
        <v>507966</v>
      </c>
      <c r="M295" s="148">
        <f t="shared" si="25"/>
        <v>2917665</v>
      </c>
      <c r="N295" s="220"/>
      <c r="O295" s="220">
        <f>ROUND(VLOOKUP(A295,'Contribution Allocation_Report'!$A$9:$D$314,4,FALSE)*'OPEB Amounts_Report'!$O$321,0)</f>
        <v>-635743</v>
      </c>
      <c r="P295" s="220">
        <f>INDEX('Change in Proportion Layers'!$AC$8:$AC$320,MATCH('OPEB Amounts_Report'!A295,'Change in Proportion Layers'!$A$8:$A$320,0))</f>
        <v>110553</v>
      </c>
      <c r="Q295" s="220">
        <f t="shared" si="26"/>
        <v>-525190</v>
      </c>
    </row>
    <row r="296" spans="1:17" ht="12" customHeight="1">
      <c r="A296" s="51">
        <v>24073</v>
      </c>
      <c r="B296" s="55" t="s">
        <v>275</v>
      </c>
      <c r="C296" s="147">
        <f>ROUND(VLOOKUP(A296,'Contribution Allocation_Report'!$A$9:$D$314,4,FALSE)*'OPEB Amounts_Report'!$C$321,0)</f>
        <v>417116</v>
      </c>
      <c r="D296" s="147">
        <f>ROUND(VLOOKUP(A296,'Contribution Allocation_Report'!$A$9:$D$314,4,FALSE)*'OPEB Amounts_Report'!$D$321,0)</f>
        <v>2537</v>
      </c>
      <c r="E296" s="147">
        <f>ROUND(VLOOKUP(A296,'Contribution Allocation_Report'!$A$9:$D$314,4,FALSE)*'OPEB Amounts_Report'!$E$321,0)</f>
        <v>60023</v>
      </c>
      <c r="F296" s="147">
        <f>INDEX('Change in Proportion Layers'!$AE$8:$AE$320,MATCH('OPEB Amounts_Report'!A296,'Change in Proportion Layers'!$A$8:$A$320,0))</f>
        <v>113245</v>
      </c>
      <c r="G296" s="147">
        <f t="shared" si="22"/>
        <v>175805</v>
      </c>
      <c r="H296" s="147"/>
      <c r="I296" s="147">
        <f>ROUND(VLOOKUP(A296,'Contribution Allocation_Report'!$A$9:$D$314,4,FALSE)*'OPEB Amounts_Report'!$I$321,0)</f>
        <v>71671</v>
      </c>
      <c r="J296" s="147">
        <f>ROUND(VLOOKUP(A296,'Contribution Allocation_Report'!$A$9:$D$314,4,FALSE)*'OPEB Amounts_Report'!$J$321,0)</f>
        <v>6311</v>
      </c>
      <c r="K296" s="147">
        <f>ROUND(VLOOKUP(A296,'Contribution Allocation_Report'!$A$9:$D$314,4,FALSE)*$K$321,0)</f>
        <v>192373</v>
      </c>
      <c r="L296" s="147">
        <f>INDEX('Change in Proportion Layers'!$AF$8:$AF$320,MATCH('OPEB Amounts_Report'!A296,'Change in Proportion Layers'!$A$8:$A$320,0))</f>
        <v>28980</v>
      </c>
      <c r="M296" s="147">
        <f t="shared" si="25"/>
        <v>299335</v>
      </c>
      <c r="N296" s="221"/>
      <c r="O296" s="221">
        <f>ROUND(VLOOKUP(A296,'Contribution Allocation_Report'!$A$9:$D$314,4,FALSE)*'OPEB Amounts_Report'!$O$321,0)</f>
        <v>-71327</v>
      </c>
      <c r="P296" s="221">
        <f>INDEX('Change in Proportion Layers'!$AC$8:$AC$320,MATCH('OPEB Amounts_Report'!A296,'Change in Proportion Layers'!$A$8:$A$320,0))</f>
        <v>26040</v>
      </c>
      <c r="Q296" s="221">
        <f t="shared" si="26"/>
        <v>-45287</v>
      </c>
    </row>
    <row r="297" spans="1:17" ht="12" customHeight="1">
      <c r="A297" s="53">
        <v>2100</v>
      </c>
      <c r="B297" s="54" t="s">
        <v>276</v>
      </c>
      <c r="C297" s="148">
        <f>ROUND(VLOOKUP(A297,'Contribution Allocation_Report'!$A$9:$D$314,4,FALSE)*'OPEB Amounts_Report'!$C$321,0)</f>
        <v>374874</v>
      </c>
      <c r="D297" s="148">
        <f>ROUND(VLOOKUP(A297,'Contribution Allocation_Report'!$A$9:$D$314,4,FALSE)*'OPEB Amounts_Report'!$D$321,0)</f>
        <v>2280</v>
      </c>
      <c r="E297" s="148">
        <f>ROUND(VLOOKUP(A297,'Contribution Allocation_Report'!$A$9:$D$314,4,FALSE)*'OPEB Amounts_Report'!$E$321,0)</f>
        <v>53944</v>
      </c>
      <c r="F297" s="148">
        <f>INDEX('Change in Proportion Layers'!$AE$8:$AE$320,MATCH('OPEB Amounts_Report'!A297,'Change in Proportion Layers'!$A$8:$A$320,0))</f>
        <v>25533</v>
      </c>
      <c r="G297" s="148">
        <f t="shared" si="22"/>
        <v>81757</v>
      </c>
      <c r="H297" s="148"/>
      <c r="I297" s="148">
        <f>ROUND(VLOOKUP(A297,'Contribution Allocation_Report'!$A$9:$D$314,4,FALSE)*'OPEB Amounts_Report'!$I$321,0)</f>
        <v>64413</v>
      </c>
      <c r="J297" s="148">
        <f>ROUND(VLOOKUP(A297,'Contribution Allocation_Report'!$A$9:$D$314,4,FALSE)*'OPEB Amounts_Report'!$J$321,0)</f>
        <v>5672</v>
      </c>
      <c r="K297" s="148">
        <f>ROUND(VLOOKUP(A297,'Contribution Allocation_Report'!$A$9:$D$314,4,FALSE)*$K$321,0)</f>
        <v>172892</v>
      </c>
      <c r="L297" s="148">
        <f>INDEX('Change in Proportion Layers'!$AF$8:$AF$320,MATCH('OPEB Amounts_Report'!A297,'Change in Proportion Layers'!$A$8:$A$320,0))</f>
        <v>126399</v>
      </c>
      <c r="M297" s="148">
        <f t="shared" si="25"/>
        <v>369376</v>
      </c>
      <c r="N297" s="220"/>
      <c r="O297" s="220">
        <f>ROUND(VLOOKUP(A297,'Contribution Allocation_Report'!$A$9:$D$314,4,FALSE)*'OPEB Amounts_Report'!$O$321,0)</f>
        <v>-64104</v>
      </c>
      <c r="P297" s="220">
        <f>INDEX('Change in Proportion Layers'!$AC$8:$AC$320,MATCH('OPEB Amounts_Report'!A297,'Change in Proportion Layers'!$A$8:$A$320,0))</f>
        <v>-28966</v>
      </c>
      <c r="Q297" s="220">
        <f t="shared" si="26"/>
        <v>-93070</v>
      </c>
    </row>
    <row r="298" spans="1:17" ht="12" customHeight="1">
      <c r="A298" s="51">
        <v>2130</v>
      </c>
      <c r="B298" s="55" t="s">
        <v>277</v>
      </c>
      <c r="C298" s="147">
        <f>ROUND(VLOOKUP(A298,'Contribution Allocation_Report'!$A$9:$D$314,4,FALSE)*'OPEB Amounts_Report'!$C$321,0)</f>
        <v>96835</v>
      </c>
      <c r="D298" s="147">
        <f>ROUND(VLOOKUP(A298,'Contribution Allocation_Report'!$A$9:$D$314,4,FALSE)*'OPEB Amounts_Report'!$D$321,0)</f>
        <v>589</v>
      </c>
      <c r="E298" s="147">
        <f>ROUND(VLOOKUP(A298,'Contribution Allocation_Report'!$A$9:$D$314,4,FALSE)*'OPEB Amounts_Report'!$E$321,0)</f>
        <v>13934</v>
      </c>
      <c r="F298" s="147">
        <f>INDEX('Change in Proportion Layers'!$AE$8:$AE$320,MATCH('OPEB Amounts_Report'!A298,'Change in Proportion Layers'!$A$8:$A$320,0))</f>
        <v>20743</v>
      </c>
      <c r="G298" s="147">
        <f t="shared" si="22"/>
        <v>35266</v>
      </c>
      <c r="H298" s="147"/>
      <c r="I298" s="147">
        <f>ROUND(VLOOKUP(A298,'Contribution Allocation_Report'!$A$9:$D$314,4,FALSE)*'OPEB Amounts_Report'!$I$321,0)</f>
        <v>16639</v>
      </c>
      <c r="J298" s="147">
        <f>ROUND(VLOOKUP(A298,'Contribution Allocation_Report'!$A$9:$D$314,4,FALSE)*'OPEB Amounts_Report'!$J$321,0)</f>
        <v>1465</v>
      </c>
      <c r="K298" s="147">
        <f>ROUND(VLOOKUP(A298,'Contribution Allocation_Report'!$A$9:$D$314,4,FALSE)*$K$321,0)</f>
        <v>44660</v>
      </c>
      <c r="L298" s="147">
        <f>INDEX('Change in Proportion Layers'!$AF$8:$AF$320,MATCH('OPEB Amounts_Report'!A298,'Change in Proportion Layers'!$A$8:$A$320,0))</f>
        <v>78592</v>
      </c>
      <c r="M298" s="147">
        <f t="shared" si="25"/>
        <v>141356</v>
      </c>
      <c r="N298" s="221"/>
      <c r="O298" s="221">
        <f>ROUND(VLOOKUP(A298,'Contribution Allocation_Report'!$A$9:$D$314,4,FALSE)*'OPEB Amounts_Report'!$O$321,0)</f>
        <v>-16559</v>
      </c>
      <c r="P298" s="221">
        <f>INDEX('Change in Proportion Layers'!$AC$8:$AC$320,MATCH('OPEB Amounts_Report'!A298,'Change in Proportion Layers'!$A$8:$A$320,0))</f>
        <v>-24375</v>
      </c>
      <c r="Q298" s="221">
        <f t="shared" si="26"/>
        <v>-40934</v>
      </c>
    </row>
    <row r="299" spans="1:17" ht="12" customHeight="1">
      <c r="A299" s="51">
        <v>32099</v>
      </c>
      <c r="B299" s="52" t="s">
        <v>278</v>
      </c>
      <c r="C299" s="115">
        <f>ROUND(VLOOKUP(A299,'Contribution Allocation_Report'!$A$9:$D$314,4,FALSE)*'OPEB Amounts_Report'!$C$321,0)</f>
        <v>175545</v>
      </c>
      <c r="D299" s="115">
        <f>ROUND(VLOOKUP(A299,'Contribution Allocation_Report'!$A$9:$D$314,4,FALSE)*'OPEB Amounts_Report'!$D$321,0)</f>
        <v>1068</v>
      </c>
      <c r="E299" s="115">
        <f>ROUND(VLOOKUP(A299,'Contribution Allocation_Report'!$A$9:$D$314,4,FALSE)*'OPEB Amounts_Report'!$E$321,0)</f>
        <v>25261</v>
      </c>
      <c r="F299" s="115">
        <f>INDEX('Change in Proportion Layers'!$AE$8:$AE$320,MATCH('OPEB Amounts_Report'!A299,'Change in Proportion Layers'!$A$8:$A$320,0))</f>
        <v>58407</v>
      </c>
      <c r="G299" s="115">
        <f t="shared" si="22"/>
        <v>84736</v>
      </c>
      <c r="H299" s="115"/>
      <c r="I299" s="115">
        <f>ROUND(VLOOKUP(A299,'Contribution Allocation_Report'!$A$9:$D$314,4,FALSE)*'OPEB Amounts_Report'!$I$321,0)</f>
        <v>30163</v>
      </c>
      <c r="J299" s="115">
        <f>ROUND(VLOOKUP(A299,'Contribution Allocation_Report'!$A$9:$D$314,4,FALSE)*'OPEB Amounts_Report'!$J$321,0)</f>
        <v>2656</v>
      </c>
      <c r="K299" s="115">
        <f>ROUND(VLOOKUP(A299,'Contribution Allocation_Report'!$A$9:$D$314,4,FALSE)*$K$321,0)</f>
        <v>80961</v>
      </c>
      <c r="L299" s="117">
        <f>INDEX('Change in Proportion Layers'!$AF$8:$AF$320,MATCH('OPEB Amounts_Report'!A299,'Change in Proportion Layers'!$A$8:$A$320,0))</f>
        <v>23489</v>
      </c>
      <c r="M299" s="115">
        <f t="shared" si="25"/>
        <v>137269</v>
      </c>
      <c r="N299" s="116"/>
      <c r="O299" s="116">
        <f>ROUND(VLOOKUP(A299,'Contribution Allocation_Report'!$A$9:$D$314,4,FALSE)*'OPEB Amounts_Report'!$O$321,0)</f>
        <v>-30018</v>
      </c>
      <c r="P299" s="116">
        <f>INDEX('Change in Proportion Layers'!$AC$8:$AC$320,MATCH('OPEB Amounts_Report'!A299,'Change in Proportion Layers'!$A$8:$A$320,0))</f>
        <v>-5381</v>
      </c>
      <c r="Q299" s="116">
        <f t="shared" si="26"/>
        <v>-35399</v>
      </c>
    </row>
    <row r="300" spans="1:17" ht="12" customHeight="1">
      <c r="A300" s="53">
        <v>32100</v>
      </c>
      <c r="B300" s="54" t="s">
        <v>279</v>
      </c>
      <c r="C300" s="148">
        <f>ROUND(VLOOKUP(A300,'Contribution Allocation_Report'!$A$9:$D$314,4,FALSE)*'OPEB Amounts_Report'!$C$321,0)</f>
        <v>274940</v>
      </c>
      <c r="D300" s="148">
        <f>ROUND(VLOOKUP(A300,'Contribution Allocation_Report'!$A$9:$D$314,4,FALSE)*'OPEB Amounts_Report'!$D$321,0)</f>
        <v>1672</v>
      </c>
      <c r="E300" s="148">
        <f>ROUND(VLOOKUP(A300,'Contribution Allocation_Report'!$A$9:$D$314,4,FALSE)*'OPEB Amounts_Report'!$E$321,0)</f>
        <v>39564</v>
      </c>
      <c r="F300" s="148">
        <f>INDEX('Change in Proportion Layers'!$AE$8:$AE$320,MATCH('OPEB Amounts_Report'!A300,'Change in Proportion Layers'!$A$8:$A$320,0))</f>
        <v>27881</v>
      </c>
      <c r="G300" s="148">
        <f t="shared" si="22"/>
        <v>69117</v>
      </c>
      <c r="H300" s="148"/>
      <c r="I300" s="148">
        <f>ROUND(VLOOKUP(A300,'Contribution Allocation_Report'!$A$9:$D$314,4,FALSE)*'OPEB Amounts_Report'!$I$321,0)</f>
        <v>47242</v>
      </c>
      <c r="J300" s="148">
        <f>ROUND(VLOOKUP(A300,'Contribution Allocation_Report'!$A$9:$D$314,4,FALSE)*'OPEB Amounts_Report'!$J$321,0)</f>
        <v>4160</v>
      </c>
      <c r="K300" s="148">
        <f>ROUND(VLOOKUP(A300,'Contribution Allocation_Report'!$A$9:$D$314,4,FALSE)*$K$321,0)</f>
        <v>126802</v>
      </c>
      <c r="L300" s="148">
        <f>INDEX('Change in Proportion Layers'!$AF$8:$AF$320,MATCH('OPEB Amounts_Report'!A300,'Change in Proportion Layers'!$A$8:$A$320,0))</f>
        <v>94069</v>
      </c>
      <c r="M300" s="148">
        <f t="shared" ref="M300:M319" si="27">SUM(I300:L300)</f>
        <v>272273</v>
      </c>
      <c r="N300" s="220"/>
      <c r="O300" s="220">
        <f>ROUND(VLOOKUP(A300,'Contribution Allocation_Report'!$A$9:$D$314,4,FALSE)*'OPEB Amounts_Report'!$O$321,0)</f>
        <v>-47015</v>
      </c>
      <c r="P300" s="220">
        <f>INDEX('Change in Proportion Layers'!$AC$8:$AC$320,MATCH('OPEB Amounts_Report'!A300,'Change in Proportion Layers'!$A$8:$A$320,0))</f>
        <v>-23099</v>
      </c>
      <c r="Q300" s="220">
        <f t="shared" si="26"/>
        <v>-70114</v>
      </c>
    </row>
    <row r="301" spans="1:17" ht="12" customHeight="1">
      <c r="A301" s="51">
        <v>32101</v>
      </c>
      <c r="B301" s="55" t="s">
        <v>280</v>
      </c>
      <c r="C301" s="147">
        <f>ROUND(VLOOKUP(A301,'Contribution Allocation_Report'!$A$9:$D$314,4,FALSE)*'OPEB Amounts_Report'!$C$321,0)</f>
        <v>90763</v>
      </c>
      <c r="D301" s="147">
        <f>ROUND(VLOOKUP(A301,'Contribution Allocation_Report'!$A$9:$D$314,4,FALSE)*'OPEB Amounts_Report'!$D$321,0)</f>
        <v>552</v>
      </c>
      <c r="E301" s="147">
        <f>ROUND(VLOOKUP(A301,'Contribution Allocation_Report'!$A$9:$D$314,4,FALSE)*'OPEB Amounts_Report'!$E$321,0)</f>
        <v>13061</v>
      </c>
      <c r="F301" s="147">
        <f>INDEX('Change in Proportion Layers'!$AE$8:$AE$320,MATCH('OPEB Amounts_Report'!A301,'Change in Proportion Layers'!$A$8:$A$320,0))</f>
        <v>104671</v>
      </c>
      <c r="G301" s="147">
        <f t="shared" si="22"/>
        <v>118284</v>
      </c>
      <c r="H301" s="147"/>
      <c r="I301" s="147">
        <f>ROUND(VLOOKUP(A301,'Contribution Allocation_Report'!$A$9:$D$314,4,FALSE)*'OPEB Amounts_Report'!$I$321,0)</f>
        <v>15595</v>
      </c>
      <c r="J301" s="147">
        <f>ROUND(VLOOKUP(A301,'Contribution Allocation_Report'!$A$9:$D$314,4,FALSE)*'OPEB Amounts_Report'!$J$321,0)</f>
        <v>1373</v>
      </c>
      <c r="K301" s="147">
        <f>ROUND(VLOOKUP(A301,'Contribution Allocation_Report'!$A$9:$D$314,4,FALSE)*$K$321,0)</f>
        <v>41860</v>
      </c>
      <c r="L301" s="147">
        <f>INDEX('Change in Proportion Layers'!$AF$8:$AF$320,MATCH('OPEB Amounts_Report'!A301,'Change in Proportion Layers'!$A$8:$A$320,0))</f>
        <v>90639</v>
      </c>
      <c r="M301" s="147">
        <f t="shared" si="27"/>
        <v>149467</v>
      </c>
      <c r="N301" s="221"/>
      <c r="O301" s="221">
        <f>ROUND(VLOOKUP(A301,'Contribution Allocation_Report'!$A$9:$D$314,4,FALSE)*'OPEB Amounts_Report'!$O$321,0)</f>
        <v>-15520</v>
      </c>
      <c r="P301" s="221">
        <f>INDEX('Change in Proportion Layers'!$AC$8:$AC$320,MATCH('OPEB Amounts_Report'!A301,'Change in Proportion Layers'!$A$8:$A$320,0))</f>
        <v>-6915</v>
      </c>
      <c r="Q301" s="221">
        <f t="shared" si="26"/>
        <v>-22435</v>
      </c>
    </row>
    <row r="302" spans="1:17" ht="12" customHeight="1">
      <c r="A302" s="53">
        <v>32102</v>
      </c>
      <c r="B302" s="54" t="s">
        <v>281</v>
      </c>
      <c r="C302" s="148">
        <f>ROUND(VLOOKUP(A302,'Contribution Allocation_Report'!$A$9:$D$314,4,FALSE)*'OPEB Amounts_Report'!$C$321,0)</f>
        <v>175212</v>
      </c>
      <c r="D302" s="148">
        <f>ROUND(VLOOKUP(A302,'Contribution Allocation_Report'!$A$9:$D$314,4,FALSE)*'OPEB Amounts_Report'!$D$321,0)</f>
        <v>1066</v>
      </c>
      <c r="E302" s="148">
        <f>ROUND(VLOOKUP(A302,'Contribution Allocation_Report'!$A$9:$D$314,4,FALSE)*'OPEB Amounts_Report'!$E$321,0)</f>
        <v>25213</v>
      </c>
      <c r="F302" s="148">
        <f>INDEX('Change in Proportion Layers'!$AE$8:$AE$320,MATCH('OPEB Amounts_Report'!A302,'Change in Proportion Layers'!$A$8:$A$320,0))</f>
        <v>23313</v>
      </c>
      <c r="G302" s="148">
        <f t="shared" si="22"/>
        <v>49592</v>
      </c>
      <c r="H302" s="148"/>
      <c r="I302" s="148">
        <f>ROUND(VLOOKUP(A302,'Contribution Allocation_Report'!$A$9:$D$314,4,FALSE)*'OPEB Amounts_Report'!$I$321,0)</f>
        <v>30106</v>
      </c>
      <c r="J302" s="148">
        <f>ROUND(VLOOKUP(A302,'Contribution Allocation_Report'!$A$9:$D$314,4,FALSE)*'OPEB Amounts_Report'!$J$321,0)</f>
        <v>2651</v>
      </c>
      <c r="K302" s="148">
        <f>ROUND(VLOOKUP(A302,'Contribution Allocation_Report'!$A$9:$D$314,4,FALSE)*$K$321,0)</f>
        <v>80808</v>
      </c>
      <c r="L302" s="148">
        <f>INDEX('Change in Proportion Layers'!$AF$8:$AF$320,MATCH('OPEB Amounts_Report'!A302,'Change in Proportion Layers'!$A$8:$A$320,0))</f>
        <v>39008</v>
      </c>
      <c r="M302" s="148">
        <f t="shared" si="27"/>
        <v>152573</v>
      </c>
      <c r="N302" s="220"/>
      <c r="O302" s="220">
        <f>ROUND(VLOOKUP(A302,'Contribution Allocation_Report'!$A$9:$D$314,4,FALSE)*'OPEB Amounts_Report'!$O$321,0)</f>
        <v>-29961</v>
      </c>
      <c r="P302" s="220">
        <f>INDEX('Change in Proportion Layers'!$AC$8:$AC$320,MATCH('OPEB Amounts_Report'!A302,'Change in Proportion Layers'!$A$8:$A$320,0))</f>
        <v>-9412</v>
      </c>
      <c r="Q302" s="220">
        <f t="shared" si="26"/>
        <v>-39373</v>
      </c>
    </row>
    <row r="303" spans="1:17" ht="12" customHeight="1">
      <c r="A303" s="51">
        <v>2880</v>
      </c>
      <c r="B303" s="55" t="s">
        <v>282</v>
      </c>
      <c r="C303" s="147">
        <f>ROUND(VLOOKUP(A303,'Contribution Allocation_Report'!$A$9:$D$314,4,FALSE)*'OPEB Amounts_Report'!$C$321,0)</f>
        <v>44721</v>
      </c>
      <c r="D303" s="147">
        <f>ROUND(VLOOKUP(A303,'Contribution Allocation_Report'!$A$9:$D$314,4,FALSE)*'OPEB Amounts_Report'!$D$321,0)</f>
        <v>272</v>
      </c>
      <c r="E303" s="147">
        <f>ROUND(VLOOKUP(A303,'Contribution Allocation_Report'!$A$9:$D$314,4,FALSE)*'OPEB Amounts_Report'!$E$321,0)</f>
        <v>6435</v>
      </c>
      <c r="F303" s="147">
        <f>INDEX('Change in Proportion Layers'!$AE$8:$AE$320,MATCH('OPEB Amounts_Report'!A303,'Change in Proportion Layers'!$A$8:$A$320,0))</f>
        <v>6080</v>
      </c>
      <c r="G303" s="147">
        <f t="shared" si="22"/>
        <v>12787</v>
      </c>
      <c r="H303" s="147"/>
      <c r="I303" s="147">
        <f>ROUND(VLOOKUP(A303,'Contribution Allocation_Report'!$A$9:$D$314,4,FALSE)*'OPEB Amounts_Report'!$I$321,0)</f>
        <v>7684</v>
      </c>
      <c r="J303" s="147">
        <f>ROUND(VLOOKUP(A303,'Contribution Allocation_Report'!$A$9:$D$314,4,FALSE)*'OPEB Amounts_Report'!$J$321,0)</f>
        <v>677</v>
      </c>
      <c r="K303" s="147">
        <f>ROUND(VLOOKUP(A303,'Contribution Allocation_Report'!$A$9:$D$314,4,FALSE)*$K$321,0)</f>
        <v>20625</v>
      </c>
      <c r="L303" s="147">
        <f>INDEX('Change in Proportion Layers'!$AF$8:$AF$320,MATCH('OPEB Amounts_Report'!A303,'Change in Proportion Layers'!$A$8:$A$320,0))</f>
        <v>26252</v>
      </c>
      <c r="M303" s="147">
        <f t="shared" si="27"/>
        <v>55238</v>
      </c>
      <c r="N303" s="221"/>
      <c r="O303" s="221">
        <f>ROUND(VLOOKUP(A303,'Contribution Allocation_Report'!$A$9:$D$314,4,FALSE)*'OPEB Amounts_Report'!$O$321,0)</f>
        <v>-7647</v>
      </c>
      <c r="P303" s="221">
        <f>INDEX('Change in Proportion Layers'!$AC$8:$AC$320,MATCH('OPEB Amounts_Report'!A303,'Change in Proportion Layers'!$A$8:$A$320,0))</f>
        <v>-3073</v>
      </c>
      <c r="Q303" s="221">
        <f t="shared" si="26"/>
        <v>-10720</v>
      </c>
    </row>
    <row r="304" spans="1:17" ht="12" customHeight="1">
      <c r="A304" s="53">
        <v>2490</v>
      </c>
      <c r="B304" s="54" t="s">
        <v>283</v>
      </c>
      <c r="C304" s="148">
        <f>ROUND(VLOOKUP(A304,'Contribution Allocation_Report'!$A$9:$D$314,4,FALSE)*'OPEB Amounts_Report'!$C$321,0)</f>
        <v>493163</v>
      </c>
      <c r="D304" s="148">
        <f>ROUND(VLOOKUP(A304,'Contribution Allocation_Report'!$A$9:$D$314,4,FALSE)*'OPEB Amounts_Report'!$D$321,0)</f>
        <v>2999</v>
      </c>
      <c r="E304" s="148">
        <f>ROUND(VLOOKUP(A304,'Contribution Allocation_Report'!$A$9:$D$314,4,FALSE)*'OPEB Amounts_Report'!$E$321,0)</f>
        <v>70966</v>
      </c>
      <c r="F304" s="148">
        <f>INDEX('Change in Proportion Layers'!$AE$8:$AE$320,MATCH('OPEB Amounts_Report'!A304,'Change in Proportion Layers'!$A$8:$A$320,0))</f>
        <v>107519</v>
      </c>
      <c r="G304" s="148">
        <f t="shared" si="22"/>
        <v>181484</v>
      </c>
      <c r="H304" s="148"/>
      <c r="I304" s="148">
        <f>ROUND(VLOOKUP(A304,'Contribution Allocation_Report'!$A$9:$D$314,4,FALSE)*'OPEB Amounts_Report'!$I$321,0)</f>
        <v>84738</v>
      </c>
      <c r="J304" s="148">
        <f>ROUND(VLOOKUP(A304,'Contribution Allocation_Report'!$A$9:$D$314,4,FALSE)*'OPEB Amounts_Report'!$J$321,0)</f>
        <v>7461</v>
      </c>
      <c r="K304" s="148">
        <f>ROUND(VLOOKUP(A304,'Contribution Allocation_Report'!$A$9:$D$314,4,FALSE)*$K$321,0)</f>
        <v>227446</v>
      </c>
      <c r="L304" s="148">
        <f>INDEX('Change in Proportion Layers'!$AF$8:$AF$320,MATCH('OPEB Amounts_Report'!A304,'Change in Proportion Layers'!$A$8:$A$320,0))</f>
        <v>23279</v>
      </c>
      <c r="M304" s="148">
        <f t="shared" si="27"/>
        <v>342924</v>
      </c>
      <c r="N304" s="220"/>
      <c r="O304" s="220">
        <f>ROUND(VLOOKUP(A304,'Contribution Allocation_Report'!$A$9:$D$314,4,FALSE)*'OPEB Amounts_Report'!$O$321,0)</f>
        <v>-84331</v>
      </c>
      <c r="P304" s="220">
        <f>INDEX('Change in Proportion Layers'!$AC$8:$AC$320,MATCH('OPEB Amounts_Report'!A304,'Change in Proportion Layers'!$A$8:$A$320,0))</f>
        <v>-19469</v>
      </c>
      <c r="Q304" s="220">
        <f t="shared" si="26"/>
        <v>-103800</v>
      </c>
    </row>
    <row r="305" spans="1:17" ht="12" customHeight="1">
      <c r="A305" s="51">
        <v>2530</v>
      </c>
      <c r="B305" s="55" t="s">
        <v>284</v>
      </c>
      <c r="C305" s="147">
        <f>ROUND(VLOOKUP(A305,'Contribution Allocation_Report'!$A$9:$D$314,4,FALSE)*'OPEB Amounts_Report'!$C$321,0)</f>
        <v>105766</v>
      </c>
      <c r="D305" s="147">
        <f>ROUND(VLOOKUP(A305,'Contribution Allocation_Report'!$A$9:$D$314,4,FALSE)*'OPEB Amounts_Report'!$D$321,0)</f>
        <v>643</v>
      </c>
      <c r="E305" s="147">
        <f>ROUND(VLOOKUP(A305,'Contribution Allocation_Report'!$A$9:$D$314,4,FALSE)*'OPEB Amounts_Report'!$E$321,0)</f>
        <v>15220</v>
      </c>
      <c r="F305" s="147">
        <f>INDEX('Change in Proportion Layers'!$AE$8:$AE$320,MATCH('OPEB Amounts_Report'!A305,'Change in Proportion Layers'!$A$8:$A$320,0))</f>
        <v>75805</v>
      </c>
      <c r="G305" s="147">
        <f t="shared" si="22"/>
        <v>91668</v>
      </c>
      <c r="H305" s="147"/>
      <c r="I305" s="147">
        <f>ROUND(VLOOKUP(A305,'Contribution Allocation_Report'!$A$9:$D$314,4,FALSE)*'OPEB Amounts_Report'!$I$321,0)</f>
        <v>18173</v>
      </c>
      <c r="J305" s="147">
        <f>ROUND(VLOOKUP(A305,'Contribution Allocation_Report'!$A$9:$D$314,4,FALSE)*'OPEB Amounts_Report'!$J$321,0)</f>
        <v>1600</v>
      </c>
      <c r="K305" s="147">
        <f>ROUND(VLOOKUP(A305,'Contribution Allocation_Report'!$A$9:$D$314,4,FALSE)*$K$321,0)</f>
        <v>48779</v>
      </c>
      <c r="L305" s="147">
        <f>INDEX('Change in Proportion Layers'!$AF$8:$AF$320,MATCH('OPEB Amounts_Report'!A305,'Change in Proportion Layers'!$A$8:$A$320,0))</f>
        <v>45194</v>
      </c>
      <c r="M305" s="147">
        <f t="shared" si="27"/>
        <v>113746</v>
      </c>
      <c r="N305" s="221"/>
      <c r="O305" s="221">
        <f>ROUND(VLOOKUP(A305,'Contribution Allocation_Report'!$A$9:$D$314,4,FALSE)*'OPEB Amounts_Report'!$O$321,0)</f>
        <v>-18086</v>
      </c>
      <c r="P305" s="221">
        <f>INDEX('Change in Proportion Layers'!$AC$8:$AC$320,MATCH('OPEB Amounts_Report'!A305,'Change in Proportion Layers'!$A$8:$A$320,0))</f>
        <v>-15344</v>
      </c>
      <c r="Q305" s="221">
        <f t="shared" si="26"/>
        <v>-33430</v>
      </c>
    </row>
    <row r="306" spans="1:17" ht="12" customHeight="1">
      <c r="A306" s="53">
        <v>2560</v>
      </c>
      <c r="B306" s="54" t="s">
        <v>285</v>
      </c>
      <c r="C306" s="148">
        <f>ROUND(VLOOKUP(A306,'Contribution Allocation_Report'!$A$9:$D$314,4,FALSE)*'OPEB Amounts_Report'!$C$321,0)</f>
        <v>244808</v>
      </c>
      <c r="D306" s="148">
        <f>ROUND(VLOOKUP(A306,'Contribution Allocation_Report'!$A$9:$D$314,4,FALSE)*'OPEB Amounts_Report'!$D$321,0)</f>
        <v>1489</v>
      </c>
      <c r="E306" s="148">
        <f>ROUND(VLOOKUP(A306,'Contribution Allocation_Report'!$A$9:$D$314,4,FALSE)*'OPEB Amounts_Report'!$E$321,0)</f>
        <v>35228</v>
      </c>
      <c r="F306" s="148">
        <f>INDEX('Change in Proportion Layers'!$AE$8:$AE$320,MATCH('OPEB Amounts_Report'!A306,'Change in Proportion Layers'!$A$8:$A$320,0))</f>
        <v>134155</v>
      </c>
      <c r="G306" s="148">
        <f t="shared" si="22"/>
        <v>170872</v>
      </c>
      <c r="H306" s="148"/>
      <c r="I306" s="148">
        <f>ROUND(VLOOKUP(A306,'Contribution Allocation_Report'!$A$9:$D$314,4,FALSE)*'OPEB Amounts_Report'!$I$321,0)</f>
        <v>42064</v>
      </c>
      <c r="J306" s="148">
        <f>ROUND(VLOOKUP(A306,'Contribution Allocation_Report'!$A$9:$D$314,4,FALSE)*'OPEB Amounts_Report'!$J$321,0)</f>
        <v>3704</v>
      </c>
      <c r="K306" s="148">
        <f>ROUND(VLOOKUP(A306,'Contribution Allocation_Report'!$A$9:$D$314,4,FALSE)*$K$321,0)</f>
        <v>112905</v>
      </c>
      <c r="L306" s="148">
        <f>INDEX('Change in Proportion Layers'!$AF$8:$AF$320,MATCH('OPEB Amounts_Report'!A306,'Change in Proportion Layers'!$A$8:$A$320,0))</f>
        <v>17539</v>
      </c>
      <c r="M306" s="148">
        <f t="shared" si="27"/>
        <v>176212</v>
      </c>
      <c r="N306" s="220"/>
      <c r="O306" s="220">
        <f>ROUND(VLOOKUP(A306,'Contribution Allocation_Report'!$A$9:$D$314,4,FALSE)*'OPEB Amounts_Report'!$O$321,0)</f>
        <v>-41862</v>
      </c>
      <c r="P306" s="220">
        <f>INDEX('Change in Proportion Layers'!$AC$8:$AC$320,MATCH('OPEB Amounts_Report'!A306,'Change in Proportion Layers'!$A$8:$A$320,0))</f>
        <v>13944</v>
      </c>
      <c r="Q306" s="220">
        <f t="shared" si="26"/>
        <v>-27918</v>
      </c>
    </row>
    <row r="307" spans="1:17" ht="12" customHeight="1">
      <c r="A307" s="51">
        <v>2610</v>
      </c>
      <c r="B307" s="55" t="s">
        <v>286</v>
      </c>
      <c r="C307" s="147">
        <f>ROUND(VLOOKUP(A307,'Contribution Allocation_Report'!$A$9:$D$314,4,FALSE)*'OPEB Amounts_Report'!$C$321,0)</f>
        <v>49657</v>
      </c>
      <c r="D307" s="147">
        <f>ROUND(VLOOKUP(A307,'Contribution Allocation_Report'!$A$9:$D$314,4,FALSE)*'OPEB Amounts_Report'!$D$321,0)</f>
        <v>302</v>
      </c>
      <c r="E307" s="147">
        <f>ROUND(VLOOKUP(A307,'Contribution Allocation_Report'!$A$9:$D$314,4,FALSE)*'OPEB Amounts_Report'!$E$321,0)</f>
        <v>7146</v>
      </c>
      <c r="F307" s="147">
        <f>INDEX('Change in Proportion Layers'!$AE$8:$AE$320,MATCH('OPEB Amounts_Report'!A307,'Change in Proportion Layers'!$A$8:$A$320,0))</f>
        <v>7882</v>
      </c>
      <c r="G307" s="147">
        <f t="shared" si="22"/>
        <v>15330</v>
      </c>
      <c r="H307" s="147"/>
      <c r="I307" s="147">
        <f>ROUND(VLOOKUP(A307,'Contribution Allocation_Report'!$A$9:$D$314,4,FALSE)*'OPEB Amounts_Report'!$I$321,0)</f>
        <v>8532</v>
      </c>
      <c r="J307" s="147">
        <f>ROUND(VLOOKUP(A307,'Contribution Allocation_Report'!$A$9:$D$314,4,FALSE)*'OPEB Amounts_Report'!$J$321,0)</f>
        <v>751</v>
      </c>
      <c r="K307" s="147">
        <f>ROUND(VLOOKUP(A307,'Contribution Allocation_Report'!$A$9:$D$314,4,FALSE)*$K$321,0)</f>
        <v>22902</v>
      </c>
      <c r="L307" s="147">
        <f>INDEX('Change in Proportion Layers'!$AF$8:$AF$320,MATCH('OPEB Amounts_Report'!A307,'Change in Proportion Layers'!$A$8:$A$320,0))</f>
        <v>10008</v>
      </c>
      <c r="M307" s="147">
        <f t="shared" si="27"/>
        <v>42193</v>
      </c>
      <c r="N307" s="221"/>
      <c r="O307" s="221">
        <f>ROUND(VLOOKUP(A307,'Contribution Allocation_Report'!$A$9:$D$314,4,FALSE)*'OPEB Amounts_Report'!$O$321,0)</f>
        <v>-8491</v>
      </c>
      <c r="P307" s="221">
        <f>INDEX('Change in Proportion Layers'!$AC$8:$AC$320,MATCH('OPEB Amounts_Report'!A307,'Change in Proportion Layers'!$A$8:$A$320,0))</f>
        <v>-4969</v>
      </c>
      <c r="Q307" s="221">
        <f t="shared" si="26"/>
        <v>-13460</v>
      </c>
    </row>
    <row r="308" spans="1:17" ht="12" customHeight="1">
      <c r="A308" s="53">
        <v>2800</v>
      </c>
      <c r="B308" s="54" t="s">
        <v>287</v>
      </c>
      <c r="C308" s="148">
        <f>ROUND(VLOOKUP(A308,'Contribution Allocation_Report'!$A$9:$D$314,4,FALSE)*'OPEB Amounts_Report'!$C$321,0)</f>
        <v>133372</v>
      </c>
      <c r="D308" s="148">
        <f>ROUND(VLOOKUP(A308,'Contribution Allocation_Report'!$A$9:$D$314,4,FALSE)*'OPEB Amounts_Report'!$D$321,0)</f>
        <v>811</v>
      </c>
      <c r="E308" s="148">
        <f>ROUND(VLOOKUP(A308,'Contribution Allocation_Report'!$A$9:$D$314,4,FALSE)*'OPEB Amounts_Report'!$E$321,0)</f>
        <v>19192</v>
      </c>
      <c r="F308" s="148">
        <f>INDEX('Change in Proportion Layers'!$AE$8:$AE$320,MATCH('OPEB Amounts_Report'!A308,'Change in Proportion Layers'!$A$8:$A$320,0))</f>
        <v>27668</v>
      </c>
      <c r="G308" s="148">
        <f t="shared" si="22"/>
        <v>47671</v>
      </c>
      <c r="H308" s="148"/>
      <c r="I308" s="148">
        <f>ROUND(VLOOKUP(A308,'Contribution Allocation_Report'!$A$9:$D$314,4,FALSE)*'OPEB Amounts_Report'!$I$321,0)</f>
        <v>22917</v>
      </c>
      <c r="J308" s="148">
        <f>ROUND(VLOOKUP(A308,'Contribution Allocation_Report'!$A$9:$D$314,4,FALSE)*'OPEB Amounts_Report'!$J$321,0)</f>
        <v>2018</v>
      </c>
      <c r="K308" s="148">
        <f>ROUND(VLOOKUP(A308,'Contribution Allocation_Report'!$A$9:$D$314,4,FALSE)*$K$321,0)</f>
        <v>61511</v>
      </c>
      <c r="L308" s="148">
        <f>INDEX('Change in Proportion Layers'!$AF$8:$AF$320,MATCH('OPEB Amounts_Report'!A308,'Change in Proportion Layers'!$A$8:$A$320,0))</f>
        <v>35459</v>
      </c>
      <c r="M308" s="148">
        <f t="shared" si="27"/>
        <v>121905</v>
      </c>
      <c r="N308" s="220"/>
      <c r="O308" s="220">
        <f>ROUND(VLOOKUP(A308,'Contribution Allocation_Report'!$A$9:$D$314,4,FALSE)*'OPEB Amounts_Report'!$O$321,0)</f>
        <v>-22807</v>
      </c>
      <c r="P308" s="220">
        <f>INDEX('Change in Proportion Layers'!$AC$8:$AC$320,MATCH('OPEB Amounts_Report'!A308,'Change in Proportion Layers'!$A$8:$A$320,0))</f>
        <v>19310</v>
      </c>
      <c r="Q308" s="220">
        <f t="shared" si="26"/>
        <v>-3497</v>
      </c>
    </row>
    <row r="309" spans="1:17" ht="12" customHeight="1">
      <c r="A309" s="51">
        <v>20317</v>
      </c>
      <c r="B309" s="55" t="s">
        <v>288</v>
      </c>
      <c r="C309" s="147">
        <f>ROUND(VLOOKUP(A309,'Contribution Allocation_Report'!$A$9:$D$314,4,FALSE)*'OPEB Amounts_Report'!$C$321,0)</f>
        <v>233203</v>
      </c>
      <c r="D309" s="147">
        <f>ROUND(VLOOKUP(A309,'Contribution Allocation_Report'!$A$9:$D$314,4,FALSE)*'OPEB Amounts_Report'!$D$321,0)</f>
        <v>1418</v>
      </c>
      <c r="E309" s="147">
        <f>ROUND(VLOOKUP(A309,'Contribution Allocation_Report'!$A$9:$D$314,4,FALSE)*'OPEB Amounts_Report'!$E$321,0)</f>
        <v>33558</v>
      </c>
      <c r="F309" s="147">
        <f>INDEX('Change in Proportion Layers'!$AE$8:$AE$320,MATCH('OPEB Amounts_Report'!A309,'Change in Proportion Layers'!$A$8:$A$320,0))</f>
        <v>68158</v>
      </c>
      <c r="G309" s="147">
        <f t="shared" si="22"/>
        <v>103134</v>
      </c>
      <c r="H309" s="147"/>
      <c r="I309" s="147">
        <f>ROUND(VLOOKUP(A309,'Contribution Allocation_Report'!$A$9:$D$314,4,FALSE)*'OPEB Amounts_Report'!$I$321,0)</f>
        <v>40070</v>
      </c>
      <c r="J309" s="147">
        <f>ROUND(VLOOKUP(A309,'Contribution Allocation_Report'!$A$9:$D$314,4,FALSE)*'OPEB Amounts_Report'!$J$321,0)</f>
        <v>3528</v>
      </c>
      <c r="K309" s="147">
        <f>ROUND(VLOOKUP(A309,'Contribution Allocation_Report'!$A$9:$D$314,4,FALSE)*$K$321,0)</f>
        <v>107553</v>
      </c>
      <c r="L309" s="147">
        <f>INDEX('Change in Proportion Layers'!$AF$8:$AF$320,MATCH('OPEB Amounts_Report'!A309,'Change in Proportion Layers'!$A$8:$A$320,0))</f>
        <v>119278</v>
      </c>
      <c r="M309" s="147">
        <f t="shared" si="27"/>
        <v>270429</v>
      </c>
      <c r="N309" s="221"/>
      <c r="O309" s="221">
        <f>ROUND(VLOOKUP(A309,'Contribution Allocation_Report'!$A$9:$D$314,4,FALSE)*'OPEB Amounts_Report'!$O$321,0)</f>
        <v>-39878</v>
      </c>
      <c r="P309" s="221">
        <f>INDEX('Change in Proportion Layers'!$AC$8:$AC$320,MATCH('OPEB Amounts_Report'!A309,'Change in Proportion Layers'!$A$8:$A$320,0))</f>
        <v>5957</v>
      </c>
      <c r="Q309" s="221">
        <f t="shared" si="26"/>
        <v>-33921</v>
      </c>
    </row>
    <row r="310" spans="1:17" ht="12" customHeight="1">
      <c r="A310" s="53">
        <v>2442</v>
      </c>
      <c r="B310" s="54" t="s">
        <v>415</v>
      </c>
      <c r="C310" s="148">
        <f>ROUND(VLOOKUP(A310,'Contribution Allocation_Report'!$A$9:$D$314,4,FALSE)*'OPEB Amounts_Report'!$C$321,0)</f>
        <v>284295</v>
      </c>
      <c r="D310" s="148">
        <f>ROUND(VLOOKUP(A310,'Contribution Allocation_Report'!$A$9:$D$314,4,FALSE)*'OPEB Amounts_Report'!$D$321,0)</f>
        <v>1729</v>
      </c>
      <c r="E310" s="148">
        <f>ROUND(VLOOKUP(A310,'Contribution Allocation_Report'!$A$9:$D$314,4,FALSE)*'OPEB Amounts_Report'!$E$321,0)</f>
        <v>40910</v>
      </c>
      <c r="F310" s="148">
        <f>INDEX('Change in Proportion Layers'!$AE$8:$AE$320,MATCH('OPEB Amounts_Report'!A310,'Change in Proportion Layers'!$A$8:$A$320,0))</f>
        <v>333488</v>
      </c>
      <c r="G310" s="148">
        <f t="shared" si="22"/>
        <v>376127</v>
      </c>
      <c r="H310" s="148"/>
      <c r="I310" s="148">
        <f>ROUND(VLOOKUP(A310,'Contribution Allocation_Report'!$A$9:$D$314,4,FALSE)*'OPEB Amounts_Report'!$I$321,0)</f>
        <v>48849</v>
      </c>
      <c r="J310" s="148">
        <f>ROUND(VLOOKUP(A310,'Contribution Allocation_Report'!$A$9:$D$314,4,FALSE)*'OPEB Amounts_Report'!$J$321,0)</f>
        <v>4301</v>
      </c>
      <c r="K310" s="148">
        <f>ROUND(VLOOKUP(A310,'Contribution Allocation_Report'!$A$9:$D$314,4,FALSE)*$K$321,0)</f>
        <v>131117</v>
      </c>
      <c r="L310" s="148">
        <f>INDEX('Change in Proportion Layers'!$AF$8:$AF$320,MATCH('OPEB Amounts_Report'!A310,'Change in Proportion Layers'!$A$8:$A$320,0))</f>
        <v>0</v>
      </c>
      <c r="M310" s="148">
        <f t="shared" si="27"/>
        <v>184267</v>
      </c>
      <c r="N310" s="220"/>
      <c r="O310" s="220">
        <f>ROUND(VLOOKUP(A310,'Contribution Allocation_Report'!$A$9:$D$314,4,FALSE)*'OPEB Amounts_Report'!$O$321,0)</f>
        <v>-48614</v>
      </c>
      <c r="P310" s="220">
        <f>INDEX('Change in Proportion Layers'!$AC$8:$AC$320,MATCH('OPEB Amounts_Report'!A310,'Change in Proportion Layers'!$A$8:$A$320,0))</f>
        <v>112798</v>
      </c>
      <c r="Q310" s="220">
        <f t="shared" si="26"/>
        <v>64184</v>
      </c>
    </row>
    <row r="311" spans="1:17" ht="12" customHeight="1">
      <c r="A311" s="51">
        <v>30090</v>
      </c>
      <c r="B311" s="55" t="s">
        <v>289</v>
      </c>
      <c r="C311" s="147">
        <f>ROUND(VLOOKUP(A311,'Contribution Allocation_Report'!$A$9:$D$314,4,FALSE)*'OPEB Amounts_Report'!$C$321,0)</f>
        <v>356221</v>
      </c>
      <c r="D311" s="147">
        <f>ROUND(VLOOKUP(A311,'Contribution Allocation_Report'!$A$9:$D$314,4,FALSE)*'OPEB Amounts_Report'!$D$321,0)</f>
        <v>2166</v>
      </c>
      <c r="E311" s="147">
        <f>ROUND(VLOOKUP(A311,'Contribution Allocation_Report'!$A$9:$D$314,4,FALSE)*'OPEB Amounts_Report'!$E$321,0)</f>
        <v>51260</v>
      </c>
      <c r="F311" s="147">
        <f>INDEX('Change in Proportion Layers'!$AE$8:$AE$320,MATCH('OPEB Amounts_Report'!A311,'Change in Proportion Layers'!$A$8:$A$320,0))</f>
        <v>75362</v>
      </c>
      <c r="G311" s="147">
        <f t="shared" si="22"/>
        <v>128788</v>
      </c>
      <c r="H311" s="147"/>
      <c r="I311" s="147">
        <f>ROUND(VLOOKUP(A311,'Contribution Allocation_Report'!$A$9:$D$314,4,FALSE)*'OPEB Amounts_Report'!$I$321,0)</f>
        <v>61208</v>
      </c>
      <c r="J311" s="147">
        <f>ROUND(VLOOKUP(A311,'Contribution Allocation_Report'!$A$9:$D$314,4,FALSE)*'OPEB Amounts_Report'!$J$321,0)</f>
        <v>5389</v>
      </c>
      <c r="K311" s="147">
        <f>ROUND(VLOOKUP(A311,'Contribution Allocation_Report'!$A$9:$D$314,4,FALSE)*$K$321,0)</f>
        <v>164289</v>
      </c>
      <c r="L311" s="147">
        <f>INDEX('Change in Proportion Layers'!$AF$8:$AF$320,MATCH('OPEB Amounts_Report'!A311,'Change in Proportion Layers'!$A$8:$A$320,0))</f>
        <v>219087</v>
      </c>
      <c r="M311" s="147">
        <f t="shared" si="27"/>
        <v>449973</v>
      </c>
      <c r="N311" s="221"/>
      <c r="O311" s="221">
        <f>ROUND(VLOOKUP(A311,'Contribution Allocation_Report'!$A$9:$D$314,4,FALSE)*'OPEB Amounts_Report'!$O$321,0)</f>
        <v>-60914</v>
      </c>
      <c r="P311" s="221">
        <f>INDEX('Change in Proportion Layers'!$AC$8:$AC$320,MATCH('OPEB Amounts_Report'!A311,'Change in Proportion Layers'!$A$8:$A$320,0))</f>
        <v>-6592</v>
      </c>
      <c r="Q311" s="221">
        <f t="shared" si="26"/>
        <v>-67506</v>
      </c>
    </row>
    <row r="312" spans="1:17" ht="12" customHeight="1">
      <c r="A312" s="53">
        <v>29330</v>
      </c>
      <c r="B312" s="54" t="s">
        <v>290</v>
      </c>
      <c r="C312" s="148">
        <f>ROUND(VLOOKUP(A312,'Contribution Allocation_Report'!$A$9:$D$314,4,FALSE)*'OPEB Amounts_Report'!$C$321,0)</f>
        <v>212759</v>
      </c>
      <c r="D312" s="148">
        <f>ROUND(VLOOKUP(A312,'Contribution Allocation_Report'!$A$9:$D$314,4,FALSE)*'OPEB Amounts_Report'!$D$321,0)</f>
        <v>1294</v>
      </c>
      <c r="E312" s="148">
        <f>ROUND(VLOOKUP(A312,'Contribution Allocation_Report'!$A$9:$D$314,4,FALSE)*'OPEB Amounts_Report'!$E$321,0)</f>
        <v>30616</v>
      </c>
      <c r="F312" s="148">
        <f>INDEX('Change in Proportion Layers'!$AE$8:$AE$320,MATCH('OPEB Amounts_Report'!A312,'Change in Proportion Layers'!$A$8:$A$320,0))</f>
        <v>48275</v>
      </c>
      <c r="G312" s="148">
        <f t="shared" si="22"/>
        <v>80185</v>
      </c>
      <c r="H312" s="148"/>
      <c r="I312" s="148">
        <f>ROUND(VLOOKUP(A312,'Contribution Allocation_Report'!$A$9:$D$314,4,FALSE)*'OPEB Amounts_Report'!$I$321,0)</f>
        <v>36557</v>
      </c>
      <c r="J312" s="148">
        <f>ROUND(VLOOKUP(A312,'Contribution Allocation_Report'!$A$9:$D$314,4,FALSE)*'OPEB Amounts_Report'!$J$321,0)</f>
        <v>3219</v>
      </c>
      <c r="K312" s="148">
        <f>ROUND(VLOOKUP(A312,'Contribution Allocation_Report'!$A$9:$D$314,4,FALSE)*$K$321,0)</f>
        <v>98124</v>
      </c>
      <c r="L312" s="148">
        <f>INDEX('Change in Proportion Layers'!$AF$8:$AF$320,MATCH('OPEB Amounts_Report'!A312,'Change in Proportion Layers'!$A$8:$A$320,0))</f>
        <v>16930</v>
      </c>
      <c r="M312" s="148">
        <f t="shared" si="27"/>
        <v>154830</v>
      </c>
      <c r="N312" s="220"/>
      <c r="O312" s="220">
        <f>ROUND(VLOOKUP(A312,'Contribution Allocation_Report'!$A$9:$D$314,4,FALSE)*'OPEB Amounts_Report'!$O$321,0)</f>
        <v>-36382</v>
      </c>
      <c r="P312" s="220">
        <f>INDEX('Change in Proportion Layers'!$AC$8:$AC$320,MATCH('OPEB Amounts_Report'!A312,'Change in Proportion Layers'!$A$8:$A$320,0))</f>
        <v>3416</v>
      </c>
      <c r="Q312" s="220">
        <f t="shared" si="26"/>
        <v>-32966</v>
      </c>
    </row>
    <row r="313" spans="1:17" ht="12" customHeight="1">
      <c r="A313" s="51">
        <v>12038</v>
      </c>
      <c r="B313" s="55" t="s">
        <v>291</v>
      </c>
      <c r="C313" s="147">
        <f>ROUND(VLOOKUP(A313,'Contribution Allocation_Report'!$A$9:$D$314,4,FALSE)*'OPEB Amounts_Report'!$C$321,0)</f>
        <v>3458729</v>
      </c>
      <c r="D313" s="147">
        <f>ROUND(VLOOKUP(A313,'Contribution Allocation_Report'!$A$9:$D$314,4,FALSE)*'OPEB Amounts_Report'!$D$321,0)</f>
        <v>21035</v>
      </c>
      <c r="E313" s="147">
        <f>ROUND(VLOOKUP(A313,'Contribution Allocation_Report'!$A$9:$D$314,4,FALSE)*'OPEB Amounts_Report'!$E$321,0)</f>
        <v>497708</v>
      </c>
      <c r="F313" s="147">
        <f>INDEX('Change in Proportion Layers'!$AE$8:$AE$320,MATCH('OPEB Amounts_Report'!A313,'Change in Proportion Layers'!$A$8:$A$320,0))</f>
        <v>152184</v>
      </c>
      <c r="G313" s="147">
        <f t="shared" si="22"/>
        <v>670927</v>
      </c>
      <c r="H313" s="147"/>
      <c r="I313" s="147">
        <f>ROUND(VLOOKUP(A313,'Contribution Allocation_Report'!$A$9:$D$314,4,FALSE)*'OPEB Amounts_Report'!$I$321,0)</f>
        <v>594297</v>
      </c>
      <c r="J313" s="147">
        <f>ROUND(VLOOKUP(A313,'Contribution Allocation_Report'!$A$9:$D$314,4,FALSE)*'OPEB Amounts_Report'!$J$321,0)</f>
        <v>52327</v>
      </c>
      <c r="K313" s="147">
        <f>ROUND(VLOOKUP(A313,'Contribution Allocation_Report'!$A$9:$D$314,4,FALSE)*$K$321,0)</f>
        <v>1595162</v>
      </c>
      <c r="L313" s="147">
        <f>INDEX('Change in Proportion Layers'!$AF$8:$AF$320,MATCH('OPEB Amounts_Report'!A313,'Change in Proportion Layers'!$A$8:$A$320,0))</f>
        <v>626490</v>
      </c>
      <c r="M313" s="147">
        <f t="shared" si="27"/>
        <v>2868276</v>
      </c>
      <c r="N313" s="221"/>
      <c r="O313" s="221">
        <f>ROUND(VLOOKUP(A313,'Contribution Allocation_Report'!$A$9:$D$314,4,FALSE)*'OPEB Amounts_Report'!$O$321,0)</f>
        <v>-591443</v>
      </c>
      <c r="P313" s="221">
        <f>INDEX('Change in Proportion Layers'!$AC$8:$AC$320,MATCH('OPEB Amounts_Report'!A313,'Change in Proportion Layers'!$A$8:$A$320,0))</f>
        <v>91618</v>
      </c>
      <c r="Q313" s="221">
        <f t="shared" si="26"/>
        <v>-499825</v>
      </c>
    </row>
    <row r="314" spans="1:17" ht="12" customHeight="1">
      <c r="A314" s="53">
        <v>8099</v>
      </c>
      <c r="B314" s="54" t="s">
        <v>292</v>
      </c>
      <c r="C314" s="148">
        <f>ROUND(VLOOKUP(A314,'Contribution Allocation_Report'!$A$9:$D$314,4,FALSE)*'OPEB Amounts_Report'!$C$321,0)</f>
        <v>6636137</v>
      </c>
      <c r="D314" s="148">
        <f>ROUND(VLOOKUP(A314,'Contribution Allocation_Report'!$A$9:$D$314,4,FALSE)*'OPEB Amounts_Report'!$D$321,0)</f>
        <v>40359</v>
      </c>
      <c r="E314" s="148">
        <f>ROUND(VLOOKUP(A314,'Contribution Allocation_Report'!$A$9:$D$314,4,FALSE)*'OPEB Amounts_Report'!$E$321,0)</f>
        <v>954934</v>
      </c>
      <c r="F314" s="148">
        <f>INDEX('Change in Proportion Layers'!$AE$8:$AE$320,MATCH('OPEB Amounts_Report'!A314,'Change in Proportion Layers'!$A$8:$A$320,0))</f>
        <v>637043</v>
      </c>
      <c r="G314" s="148">
        <f t="shared" si="22"/>
        <v>1632336</v>
      </c>
      <c r="H314" s="148"/>
      <c r="I314" s="148">
        <f>ROUND(VLOOKUP(A314,'Contribution Allocation_Report'!$A$9:$D$314,4,FALSE)*'OPEB Amounts_Report'!$I$321,0)</f>
        <v>1140255</v>
      </c>
      <c r="J314" s="148">
        <f>ROUND(VLOOKUP(A314,'Contribution Allocation_Report'!$A$9:$D$314,4,FALSE)*'OPEB Amounts_Report'!$J$321,0)</f>
        <v>100399</v>
      </c>
      <c r="K314" s="148">
        <f>ROUND(VLOOKUP(A314,'Contribution Allocation_Report'!$A$9:$D$314,4,FALSE)*$K$321,0)</f>
        <v>3060579</v>
      </c>
      <c r="L314" s="148">
        <f>INDEX('Change in Proportion Layers'!$AF$8:$AF$320,MATCH('OPEB Amounts_Report'!A314,'Change in Proportion Layers'!$A$8:$A$320,0))</f>
        <v>25404</v>
      </c>
      <c r="M314" s="148">
        <f t="shared" si="27"/>
        <v>4326637</v>
      </c>
      <c r="N314" s="220"/>
      <c r="O314" s="220">
        <f>ROUND(VLOOKUP(A314,'Contribution Allocation_Report'!$A$9:$D$314,4,FALSE)*'OPEB Amounts_Report'!$O$321,0)</f>
        <v>-1134780</v>
      </c>
      <c r="P314" s="220">
        <f>INDEX('Change in Proportion Layers'!$AC$8:$AC$320,MATCH('OPEB Amounts_Report'!A314,'Change in Proportion Layers'!$A$8:$A$320,0))</f>
        <v>146528</v>
      </c>
      <c r="Q314" s="220">
        <f t="shared" si="26"/>
        <v>-988252</v>
      </c>
    </row>
    <row r="315" spans="1:17" ht="12" customHeight="1">
      <c r="A315" s="51">
        <v>13142</v>
      </c>
      <c r="B315" s="55" t="s">
        <v>294</v>
      </c>
      <c r="C315" s="147">
        <f>ROUND(VLOOKUP(A315,'Contribution Allocation_Report'!$A$9:$D$314,4,FALSE)*'OPEB Amounts_Report'!$C$321,0)</f>
        <v>3809750</v>
      </c>
      <c r="D315" s="147">
        <f>ROUND(VLOOKUP(A315,'Contribution Allocation_Report'!$A$9:$D$314,4,FALSE)*'OPEB Amounts_Report'!$D$321,0)</f>
        <v>23170</v>
      </c>
      <c r="E315" s="147">
        <f>ROUND(VLOOKUP(A315,'Contribution Allocation_Report'!$A$9:$D$314,4,FALSE)*'OPEB Amounts_Report'!$E$321,0)</f>
        <v>548220</v>
      </c>
      <c r="F315" s="147">
        <f>INDEX('Change in Proportion Layers'!$AE$8:$AE$320,MATCH('OPEB Amounts_Report'!A315,'Change in Proportion Layers'!$A$8:$A$320,0))</f>
        <v>403213</v>
      </c>
      <c r="G315" s="147">
        <f t="shared" si="22"/>
        <v>974603</v>
      </c>
      <c r="H315" s="147"/>
      <c r="I315" s="147">
        <f>ROUND(VLOOKUP(A315,'Contribution Allocation_Report'!$A$9:$D$314,4,FALSE)*'OPEB Amounts_Report'!$I$321,0)</f>
        <v>654611</v>
      </c>
      <c r="J315" s="147">
        <f>ROUND(VLOOKUP(A315,'Contribution Allocation_Report'!$A$9:$D$314,4,FALSE)*'OPEB Amounts_Report'!$J$321,0)</f>
        <v>57638</v>
      </c>
      <c r="K315" s="147">
        <f>ROUND(VLOOKUP(A315,'Contribution Allocation_Report'!$A$9:$D$314,4,FALSE)*$K$321,0)</f>
        <v>1757053</v>
      </c>
      <c r="L315" s="147">
        <f>INDEX('Change in Proportion Layers'!$AF$8:$AF$320,MATCH('OPEB Amounts_Report'!A315,'Change in Proportion Layers'!$A$8:$A$320,0))</f>
        <v>418706</v>
      </c>
      <c r="M315" s="147">
        <f t="shared" si="27"/>
        <v>2888008</v>
      </c>
      <c r="N315" s="221"/>
      <c r="O315" s="221">
        <f>ROUND(VLOOKUP(A315,'Contribution Allocation_Report'!$A$9:$D$314,4,FALSE)*'OPEB Amounts_Report'!$O$321,0)</f>
        <v>-651468</v>
      </c>
      <c r="P315" s="221">
        <f>INDEX('Change in Proportion Layers'!$AC$8:$AC$320,MATCH('OPEB Amounts_Report'!A315,'Change in Proportion Layers'!$A$8:$A$320,0))</f>
        <v>102782</v>
      </c>
      <c r="Q315" s="221">
        <f t="shared" si="26"/>
        <v>-548686</v>
      </c>
    </row>
    <row r="316" spans="1:17" ht="12" customHeight="1">
      <c r="A316" s="53">
        <v>2417</v>
      </c>
      <c r="B316" s="54" t="s">
        <v>796</v>
      </c>
      <c r="C316" s="148">
        <v>0</v>
      </c>
      <c r="D316" s="148">
        <v>0</v>
      </c>
      <c r="E316" s="148">
        <v>0</v>
      </c>
      <c r="F316" s="148">
        <f>INDEX('Change in Proportion Layers'!$AE$8:$AE$320,MATCH('OPEB Amounts_Report'!A316,'Change in Proportion Layers'!$A$8:$A$320,0))</f>
        <v>10505</v>
      </c>
      <c r="G316" s="148">
        <f t="shared" si="22"/>
        <v>10505</v>
      </c>
      <c r="H316" s="148"/>
      <c r="I316" s="148">
        <v>0</v>
      </c>
      <c r="J316" s="148">
        <v>0</v>
      </c>
      <c r="K316" s="148">
        <v>0</v>
      </c>
      <c r="L316" s="148">
        <f>INDEX('Change in Proportion Layers'!$AF$8:$AF$320,MATCH('OPEB Amounts_Report'!A316,'Change in Proportion Layers'!$A$8:$A$320,0))</f>
        <v>196167</v>
      </c>
      <c r="M316" s="148">
        <f t="shared" si="27"/>
        <v>196167</v>
      </c>
      <c r="N316" s="220"/>
      <c r="O316" s="220">
        <v>0</v>
      </c>
      <c r="P316" s="220">
        <f>INDEX('Change in Proportion Layers'!$AC$8:$AC$320,MATCH('OPEB Amounts_Report'!A316,'Change in Proportion Layers'!$A$8:$A$320,0))</f>
        <v>-36026</v>
      </c>
      <c r="Q316" s="220">
        <f>+O316+P316</f>
        <v>-36026</v>
      </c>
    </row>
    <row r="317" spans="1:17" ht="12" customHeight="1">
      <c r="A317" s="51">
        <v>17425</v>
      </c>
      <c r="B317" s="55" t="s">
        <v>797</v>
      </c>
      <c r="C317" s="147">
        <v>0</v>
      </c>
      <c r="D317" s="147">
        <v>0</v>
      </c>
      <c r="E317" s="147">
        <v>0</v>
      </c>
      <c r="F317" s="147">
        <f>INDEX('Change in Proportion Layers'!$AE$8:$AE$320,MATCH('OPEB Amounts_Report'!A317,'Change in Proportion Layers'!$A$8:$A$320,0))</f>
        <v>99605</v>
      </c>
      <c r="G317" s="147">
        <f t="shared" si="22"/>
        <v>99605</v>
      </c>
      <c r="H317" s="147"/>
      <c r="I317" s="147">
        <v>0</v>
      </c>
      <c r="J317" s="147">
        <v>0</v>
      </c>
      <c r="K317" s="147">
        <v>0</v>
      </c>
      <c r="L317" s="147">
        <f>INDEX('Change in Proportion Layers'!$AF$8:$AF$320,MATCH('OPEB Amounts_Report'!A317,'Change in Proportion Layers'!$A$8:$A$320,0))</f>
        <v>282375</v>
      </c>
      <c r="M317" s="147">
        <f t="shared" si="27"/>
        <v>282375</v>
      </c>
      <c r="N317" s="221"/>
      <c r="O317" s="221">
        <v>0</v>
      </c>
      <c r="P317" s="221">
        <f>INDEX('Change in Proportion Layers'!$AC$8:$AC$320,MATCH('OPEB Amounts_Report'!A317,'Change in Proportion Layers'!$A$8:$A$320,0))</f>
        <v>-59807</v>
      </c>
      <c r="Q317" s="221">
        <f>+O317+P317</f>
        <v>-59807</v>
      </c>
    </row>
    <row r="318" spans="1:17" ht="12" customHeight="1">
      <c r="A318" s="53">
        <v>4170</v>
      </c>
      <c r="B318" s="54" t="s">
        <v>798</v>
      </c>
      <c r="C318" s="148">
        <v>0</v>
      </c>
      <c r="D318" s="148">
        <v>0</v>
      </c>
      <c r="E318" s="148">
        <v>0</v>
      </c>
      <c r="F318" s="148">
        <f>INDEX('Change in Proportion Layers'!$AE$8:$AE$320,MATCH('OPEB Amounts_Report'!A318,'Change in Proportion Layers'!$A$8:$A$320,0))</f>
        <v>0</v>
      </c>
      <c r="G318" s="148">
        <f t="shared" si="22"/>
        <v>0</v>
      </c>
      <c r="H318" s="148"/>
      <c r="I318" s="148">
        <v>0</v>
      </c>
      <c r="J318" s="148">
        <v>0</v>
      </c>
      <c r="K318" s="148">
        <v>0</v>
      </c>
      <c r="L318" s="148">
        <f>INDEX('Change in Proportion Layers'!$AF$8:$AF$320,MATCH('OPEB Amounts_Report'!A318,'Change in Proportion Layers'!$A$8:$A$320,0))</f>
        <v>73303</v>
      </c>
      <c r="M318" s="148">
        <f t="shared" si="27"/>
        <v>73303</v>
      </c>
      <c r="N318" s="220"/>
      <c r="O318" s="220">
        <v>0</v>
      </c>
      <c r="P318" s="220">
        <f>INDEX('Change in Proportion Layers'!$AC$8:$AC$320,MATCH('OPEB Amounts_Report'!A318,'Change in Proportion Layers'!$A$8:$A$320,0))</f>
        <v>-59841</v>
      </c>
      <c r="Q318" s="220">
        <f t="shared" si="26"/>
        <v>-59841</v>
      </c>
    </row>
    <row r="319" spans="1:17" ht="12" customHeight="1">
      <c r="A319" s="51">
        <v>17334</v>
      </c>
      <c r="B319" s="55" t="s">
        <v>799</v>
      </c>
      <c r="C319" s="222">
        <v>0</v>
      </c>
      <c r="D319" s="222">
        <v>0</v>
      </c>
      <c r="E319" s="222">
        <v>0</v>
      </c>
      <c r="F319" s="222">
        <f>INDEX('Change in Proportion Layers'!$AE$8:$AE$320,MATCH('OPEB Amounts_Report'!A319,'Change in Proportion Layers'!$A$8:$A$320,0))</f>
        <v>0</v>
      </c>
      <c r="G319" s="222">
        <f t="shared" si="22"/>
        <v>0</v>
      </c>
      <c r="H319" s="147"/>
      <c r="I319" s="222">
        <v>0</v>
      </c>
      <c r="J319" s="222">
        <v>0</v>
      </c>
      <c r="K319" s="222">
        <v>0</v>
      </c>
      <c r="L319" s="222">
        <f>INDEX('Change in Proportion Layers'!$AF$8:$AF$320,MATCH('OPEB Amounts_Report'!A319,'Change in Proportion Layers'!$A$8:$A$320,0))</f>
        <v>16508</v>
      </c>
      <c r="M319" s="222">
        <f t="shared" si="27"/>
        <v>16508</v>
      </c>
      <c r="N319" s="221"/>
      <c r="O319" s="223">
        <v>0</v>
      </c>
      <c r="P319" s="223">
        <f>INDEX('Change in Proportion Layers'!$AC$8:$AC$320,MATCH('OPEB Amounts_Report'!A319,'Change in Proportion Layers'!$A$8:$A$320,0))</f>
        <v>-28375</v>
      </c>
      <c r="Q319" s="223">
        <f t="shared" si="26"/>
        <v>-28375</v>
      </c>
    </row>
    <row r="320" spans="1:17" ht="6.6" customHeight="1">
      <c r="A320" s="56"/>
      <c r="B320" s="46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80"/>
      <c r="O320" s="180"/>
      <c r="P320" s="180"/>
      <c r="Q320" s="180"/>
    </row>
    <row r="321" spans="1:17" ht="13.5" customHeight="1" thickBot="1">
      <c r="A321" s="57"/>
      <c r="B321" s="58"/>
      <c r="C321" s="59">
        <v>1556676574</v>
      </c>
      <c r="D321" s="59">
        <v>9467283</v>
      </c>
      <c r="E321" s="59">
        <v>224004440</v>
      </c>
      <c r="F321" s="59">
        <f>SUM(F10:F319)</f>
        <v>158066406</v>
      </c>
      <c r="G321" s="59">
        <f>SUM(G10:G319)</f>
        <v>391538129</v>
      </c>
      <c r="H321" s="114"/>
      <c r="I321" s="59">
        <v>267476131</v>
      </c>
      <c r="J321" s="59">
        <v>23551092</v>
      </c>
      <c r="K321" s="59">
        <v>717937522</v>
      </c>
      <c r="L321" s="59">
        <f>SUM(L10:L319)</f>
        <v>158066406</v>
      </c>
      <c r="M321" s="59">
        <f>SUM(M10:M319)</f>
        <v>1167031151</v>
      </c>
      <c r="N321" s="114"/>
      <c r="O321" s="59">
        <v>-266191948</v>
      </c>
      <c r="P321" s="59">
        <f>SUM(P10:P319)</f>
        <v>0</v>
      </c>
      <c r="Q321" s="59">
        <f>+O321</f>
        <v>-266191948</v>
      </c>
    </row>
    <row r="322" spans="1:17" ht="13.5" customHeight="1" thickTop="1">
      <c r="A322" s="160" t="s">
        <v>795</v>
      </c>
      <c r="B322" s="58"/>
      <c r="C322" s="114"/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</row>
    <row r="323" spans="1:17" ht="13.5" customHeight="1">
      <c r="A323" s="160" t="s">
        <v>794</v>
      </c>
      <c r="B323" s="161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</row>
    <row r="324" spans="1:17" ht="12" customHeight="1">
      <c r="A324" s="160" t="s">
        <v>793</v>
      </c>
      <c r="B324" s="11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</row>
    <row r="325" spans="1:17" ht="12" customHeight="1">
      <c r="A325" s="160" t="s">
        <v>792</v>
      </c>
    </row>
    <row r="326" spans="1:17" ht="12" customHeight="1">
      <c r="A326" s="160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</row>
    <row r="327" spans="1:17" ht="12" customHeight="1">
      <c r="C327" s="70">
        <f t="shared" ref="C327:Q327" si="28">SUM(C10:C319)-C321</f>
        <v>0</v>
      </c>
      <c r="D327" s="70">
        <f t="shared" si="28"/>
        <v>0</v>
      </c>
      <c r="E327" s="166">
        <f t="shared" si="28"/>
        <v>0</v>
      </c>
      <c r="F327" s="70">
        <f t="shared" si="28"/>
        <v>0</v>
      </c>
      <c r="G327" s="70">
        <f t="shared" si="28"/>
        <v>0</v>
      </c>
      <c r="H327" s="70">
        <f t="shared" si="28"/>
        <v>0</v>
      </c>
      <c r="I327" s="70">
        <f t="shared" si="28"/>
        <v>0</v>
      </c>
      <c r="J327" s="70">
        <f t="shared" si="28"/>
        <v>0</v>
      </c>
      <c r="K327" s="70">
        <f t="shared" si="28"/>
        <v>0</v>
      </c>
      <c r="L327" s="70">
        <f t="shared" si="28"/>
        <v>0</v>
      </c>
      <c r="M327" s="70">
        <f t="shared" si="28"/>
        <v>0</v>
      </c>
      <c r="N327" s="70">
        <f t="shared" si="28"/>
        <v>0</v>
      </c>
      <c r="O327" s="70">
        <f t="shared" si="28"/>
        <v>0</v>
      </c>
      <c r="P327" s="70">
        <f t="shared" si="28"/>
        <v>0</v>
      </c>
      <c r="Q327" s="70">
        <f t="shared" si="28"/>
        <v>0</v>
      </c>
    </row>
    <row r="329" spans="1:17" ht="12" customHeight="1">
      <c r="O329" s="61"/>
    </row>
    <row r="330" spans="1:17" ht="12" customHeight="1">
      <c r="M330" s="113"/>
      <c r="O330" s="70"/>
    </row>
    <row r="331" spans="1:17" ht="12" customHeight="1">
      <c r="I331" s="113"/>
      <c r="M331" s="128"/>
      <c r="O331" s="61"/>
    </row>
    <row r="332" spans="1:17" ht="12" customHeight="1">
      <c r="M332" s="109"/>
    </row>
    <row r="333" spans="1:17" ht="12" customHeight="1">
      <c r="O333" s="70"/>
    </row>
  </sheetData>
  <mergeCells count="6">
    <mergeCell ref="I6:M6"/>
    <mergeCell ref="O6:Q6"/>
    <mergeCell ref="D6:G6"/>
    <mergeCell ref="A1:Q1"/>
    <mergeCell ref="A2:Q2"/>
    <mergeCell ref="A3:Q3"/>
  </mergeCells>
  <printOptions horizontalCentered="1"/>
  <pageMargins left="0.7" right="0.7" top="0.5" bottom="0.5" header="0.5" footer="0.5"/>
  <pageSetup scale="50" firstPageNumber="9" fitToHeight="0" orientation="landscape" useFirstPageNumber="1" r:id="rId1"/>
  <headerFooter scaleWithDoc="0">
    <oddFooter>&amp;C&amp;"Arial,Regular"&amp;10&amp;P</oddFooter>
    <evenFooter>&amp;R&amp;"Arial,Regular"&amp;10&amp;P</evenFooter>
  </headerFooter>
  <rowBreaks count="6" manualBreakCount="6">
    <brk id="57" max="16" man="1"/>
    <brk id="106" max="16" man="1"/>
    <brk id="154" max="16" man="1"/>
    <brk id="203" max="16" man="1"/>
    <brk id="251" max="16" man="1"/>
    <brk id="298" max="16" man="1"/>
  </rowBreaks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57A3-F7CB-4832-8B6A-C6F20F11E6E2}">
  <sheetPr>
    <tabColor rgb="FF92D050"/>
  </sheetPr>
  <dimension ref="A1:R338"/>
  <sheetViews>
    <sheetView view="pageBreakPreview" topLeftCell="A288" zoomScaleNormal="100" zoomScaleSheetLayoutView="100" workbookViewId="0">
      <selection activeCell="B143" sqref="B143"/>
    </sheetView>
  </sheetViews>
  <sheetFormatPr defaultRowHeight="12" customHeight="1"/>
  <cols>
    <col min="1" max="1" width="10" customWidth="1"/>
    <col min="2" max="2" width="53.42578125" customWidth="1"/>
    <col min="3" max="3" width="14.42578125" bestFit="1" customWidth="1"/>
    <col min="4" max="4" width="12.42578125" customWidth="1"/>
    <col min="5" max="8" width="13.5703125" customWidth="1"/>
    <col min="9" max="9" width="1" customWidth="1"/>
    <col min="10" max="10" width="13.5703125" customWidth="1"/>
    <col min="11" max="11" width="12.85546875" bestFit="1" customWidth="1"/>
    <col min="12" max="12" width="11.5703125" customWidth="1"/>
    <col min="13" max="13" width="13.5703125" customWidth="1"/>
    <col min="14" max="14" width="0.5703125" customWidth="1"/>
    <col min="15" max="15" width="13.5703125" customWidth="1"/>
    <col min="16" max="16" width="11.5703125" customWidth="1"/>
    <col min="17" max="17" width="14.42578125" bestFit="1" customWidth="1"/>
    <col min="18" max="18" width="13.5703125" bestFit="1" customWidth="1"/>
  </cols>
  <sheetData>
    <row r="1" spans="1:18" ht="15" customHeight="1">
      <c r="A1" s="282" t="s">
        <v>378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8" ht="15" customHeight="1">
      <c r="A2" s="283" t="s">
        <v>380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18" ht="15" customHeight="1">
      <c r="A3" s="283" t="s">
        <v>890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</row>
    <row r="4" spans="1:18" ht="15" customHeight="1"/>
    <row r="6" spans="1:18" ht="12" customHeight="1">
      <c r="A6" s="46"/>
      <c r="B6" s="46"/>
      <c r="C6" s="47"/>
      <c r="D6" s="284" t="s">
        <v>364</v>
      </c>
      <c r="E6" s="284"/>
      <c r="F6" s="284"/>
      <c r="G6" s="284"/>
      <c r="H6" s="284"/>
      <c r="I6" s="47"/>
      <c r="J6" s="284" t="s">
        <v>295</v>
      </c>
      <c r="K6" s="284"/>
      <c r="L6" s="284"/>
      <c r="M6" s="284"/>
      <c r="N6" s="46"/>
      <c r="O6" s="284" t="s">
        <v>382</v>
      </c>
      <c r="P6" s="284"/>
      <c r="Q6" s="284"/>
    </row>
    <row r="7" spans="1:18" ht="90.75" customHeight="1">
      <c r="A7" s="48" t="s">
        <v>0</v>
      </c>
      <c r="B7" s="48" t="s">
        <v>1</v>
      </c>
      <c r="C7" s="48" t="s">
        <v>891</v>
      </c>
      <c r="D7" s="48" t="s">
        <v>296</v>
      </c>
      <c r="E7" s="48" t="s">
        <v>297</v>
      </c>
      <c r="F7" s="167" t="s">
        <v>298</v>
      </c>
      <c r="G7" s="129" t="s">
        <v>365</v>
      </c>
      <c r="H7" s="129" t="s">
        <v>366</v>
      </c>
      <c r="I7" s="48"/>
      <c r="J7" s="48" t="s">
        <v>296</v>
      </c>
      <c r="K7" s="48" t="s">
        <v>298</v>
      </c>
      <c r="L7" s="48" t="s">
        <v>365</v>
      </c>
      <c r="M7" s="48" t="s">
        <v>299</v>
      </c>
      <c r="N7" s="48"/>
      <c r="O7" s="48" t="s">
        <v>384</v>
      </c>
      <c r="P7" s="48" t="s">
        <v>377</v>
      </c>
      <c r="Q7" s="48" t="s">
        <v>383</v>
      </c>
    </row>
    <row r="8" spans="1:18" ht="12" customHeight="1">
      <c r="A8" s="49"/>
      <c r="B8" s="50"/>
      <c r="C8" s="50">
        <v>3</v>
      </c>
      <c r="D8" s="50">
        <v>4</v>
      </c>
      <c r="E8" s="50">
        <v>5</v>
      </c>
      <c r="F8" s="73">
        <v>6</v>
      </c>
      <c r="G8" s="73">
        <v>7</v>
      </c>
      <c r="H8" s="50">
        <v>8</v>
      </c>
      <c r="I8" s="73"/>
      <c r="J8" s="50">
        <v>9</v>
      </c>
      <c r="K8" s="50">
        <v>10</v>
      </c>
      <c r="L8" s="50">
        <v>11</v>
      </c>
      <c r="M8" s="50">
        <v>12</v>
      </c>
      <c r="N8" s="50"/>
      <c r="O8" s="50">
        <v>13</v>
      </c>
      <c r="P8" s="50">
        <v>14</v>
      </c>
      <c r="Q8" s="50">
        <v>15</v>
      </c>
    </row>
    <row r="9" spans="1:18" ht="12" customHeight="1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8" ht="12" customHeight="1">
      <c r="A10" s="51">
        <v>1341</v>
      </c>
      <c r="B10" s="52" t="s">
        <v>5</v>
      </c>
      <c r="C10" s="115">
        <v>429939178</v>
      </c>
      <c r="D10" s="115">
        <v>4607677</v>
      </c>
      <c r="E10" s="115">
        <v>3843240</v>
      </c>
      <c r="F10" s="115">
        <v>80452389</v>
      </c>
      <c r="G10" s="115">
        <v>9302646</v>
      </c>
      <c r="H10" s="115">
        <v>98205952</v>
      </c>
      <c r="I10" s="115"/>
      <c r="J10" s="115">
        <v>44909020</v>
      </c>
      <c r="K10" s="115">
        <v>272640321</v>
      </c>
      <c r="L10" s="117">
        <v>8975708</v>
      </c>
      <c r="M10" s="115">
        <v>326525049</v>
      </c>
      <c r="N10" s="116"/>
      <c r="O10" s="116">
        <v>-87516973</v>
      </c>
      <c r="P10" s="116">
        <v>-1105848</v>
      </c>
      <c r="Q10" s="116">
        <v>-88622821</v>
      </c>
      <c r="R10" s="113"/>
    </row>
    <row r="11" spans="1:18" ht="12" customHeight="1">
      <c r="A11" s="53">
        <v>2308</v>
      </c>
      <c r="B11" s="54" t="s">
        <v>6</v>
      </c>
      <c r="C11" s="271">
        <v>817253</v>
      </c>
      <c r="D11" s="271">
        <v>8759</v>
      </c>
      <c r="E11" s="271">
        <v>7305</v>
      </c>
      <c r="F11" s="271">
        <v>152929</v>
      </c>
      <c r="G11" s="271">
        <v>298441</v>
      </c>
      <c r="H11" s="271">
        <v>467434</v>
      </c>
      <c r="I11" s="271"/>
      <c r="J11" s="271">
        <v>85366</v>
      </c>
      <c r="K11" s="271">
        <v>518251</v>
      </c>
      <c r="L11" s="271">
        <v>5384</v>
      </c>
      <c r="M11" s="271">
        <v>609001</v>
      </c>
      <c r="N11" s="69"/>
      <c r="O11" s="69">
        <v>-166357</v>
      </c>
      <c r="P11" s="69">
        <v>139677</v>
      </c>
      <c r="Q11" s="69">
        <v>-26680</v>
      </c>
    </row>
    <row r="12" spans="1:18" ht="12" customHeight="1">
      <c r="A12" s="51">
        <v>2340</v>
      </c>
      <c r="B12" s="55" t="s">
        <v>7</v>
      </c>
      <c r="C12" s="272">
        <v>792015</v>
      </c>
      <c r="D12" s="272">
        <v>8488</v>
      </c>
      <c r="E12" s="272">
        <v>7080</v>
      </c>
      <c r="F12" s="272">
        <v>148206</v>
      </c>
      <c r="G12" s="272">
        <v>128831</v>
      </c>
      <c r="H12" s="272">
        <v>292605</v>
      </c>
      <c r="I12" s="272"/>
      <c r="J12" s="272">
        <v>82729</v>
      </c>
      <c r="K12" s="272">
        <v>502246</v>
      </c>
      <c r="L12" s="272">
        <v>20292</v>
      </c>
      <c r="M12" s="272">
        <v>605267</v>
      </c>
      <c r="N12" s="273"/>
      <c r="O12" s="273">
        <v>-161220</v>
      </c>
      <c r="P12" s="273">
        <v>16702</v>
      </c>
      <c r="Q12" s="273">
        <v>-144518</v>
      </c>
    </row>
    <row r="13" spans="1:18" ht="12" customHeight="1">
      <c r="A13" s="53">
        <v>1301</v>
      </c>
      <c r="B13" s="54" t="s">
        <v>8</v>
      </c>
      <c r="C13" s="271">
        <v>914481</v>
      </c>
      <c r="D13" s="271">
        <v>9801</v>
      </c>
      <c r="E13" s="271">
        <v>8175</v>
      </c>
      <c r="F13" s="271">
        <v>171122</v>
      </c>
      <c r="G13" s="271">
        <v>190832</v>
      </c>
      <c r="H13" s="271">
        <v>379930</v>
      </c>
      <c r="I13" s="271"/>
      <c r="J13" s="271">
        <v>95522</v>
      </c>
      <c r="K13" s="271">
        <v>579906</v>
      </c>
      <c r="L13" s="271">
        <v>19895</v>
      </c>
      <c r="M13" s="271">
        <v>695323</v>
      </c>
      <c r="N13" s="69"/>
      <c r="O13" s="69">
        <v>-186149</v>
      </c>
      <c r="P13" s="69">
        <v>84122</v>
      </c>
      <c r="Q13" s="69">
        <v>-102027</v>
      </c>
    </row>
    <row r="14" spans="1:18" ht="12" customHeight="1">
      <c r="A14" s="51">
        <v>2390</v>
      </c>
      <c r="B14" s="55" t="s">
        <v>9</v>
      </c>
      <c r="C14" s="272">
        <v>728616</v>
      </c>
      <c r="D14" s="272">
        <v>7809</v>
      </c>
      <c r="E14" s="272">
        <v>6513</v>
      </c>
      <c r="F14" s="272">
        <v>136342</v>
      </c>
      <c r="G14" s="272">
        <v>248789</v>
      </c>
      <c r="H14" s="272">
        <v>399453</v>
      </c>
      <c r="I14" s="272"/>
      <c r="J14" s="272">
        <v>76107</v>
      </c>
      <c r="K14" s="272">
        <v>462043</v>
      </c>
      <c r="L14" s="272">
        <v>25667</v>
      </c>
      <c r="M14" s="272">
        <v>563817</v>
      </c>
      <c r="N14" s="273"/>
      <c r="O14" s="273">
        <v>-148315</v>
      </c>
      <c r="P14" s="273">
        <v>11850</v>
      </c>
      <c r="Q14" s="273">
        <v>-136465</v>
      </c>
    </row>
    <row r="15" spans="1:18" ht="12" customHeight="1">
      <c r="A15" s="53">
        <v>2441</v>
      </c>
      <c r="B15" s="54" t="s">
        <v>408</v>
      </c>
      <c r="C15" s="271">
        <v>335867</v>
      </c>
      <c r="D15" s="271">
        <v>3600</v>
      </c>
      <c r="E15" s="271">
        <v>3002</v>
      </c>
      <c r="F15" s="271">
        <v>62849</v>
      </c>
      <c r="G15" s="271">
        <v>482613</v>
      </c>
      <c r="H15" s="271">
        <v>552064</v>
      </c>
      <c r="I15" s="271"/>
      <c r="J15" s="271">
        <v>35083</v>
      </c>
      <c r="K15" s="271">
        <v>212986</v>
      </c>
      <c r="L15" s="148">
        <v>93674</v>
      </c>
      <c r="M15" s="271">
        <v>341743</v>
      </c>
      <c r="N15" s="69"/>
      <c r="O15" s="69">
        <v>-68368</v>
      </c>
      <c r="P15" s="69">
        <v>139748</v>
      </c>
      <c r="Q15" s="69">
        <v>71380</v>
      </c>
    </row>
    <row r="16" spans="1:18" ht="12" customHeight="1">
      <c r="A16" s="51">
        <v>15046</v>
      </c>
      <c r="B16" s="55" t="s">
        <v>10</v>
      </c>
      <c r="C16" s="272">
        <v>13474561</v>
      </c>
      <c r="D16" s="272">
        <v>144407</v>
      </c>
      <c r="E16" s="272">
        <v>120450</v>
      </c>
      <c r="F16" s="272">
        <v>2521428</v>
      </c>
      <c r="G16" s="147">
        <v>2517608</v>
      </c>
      <c r="H16" s="272">
        <v>5303893</v>
      </c>
      <c r="I16" s="272"/>
      <c r="J16" s="272">
        <v>1407477</v>
      </c>
      <c r="K16" s="272">
        <v>8544717</v>
      </c>
      <c r="L16" s="272">
        <v>743295</v>
      </c>
      <c r="M16" s="272">
        <v>10695489</v>
      </c>
      <c r="N16" s="273"/>
      <c r="O16" s="273">
        <v>-2742836</v>
      </c>
      <c r="P16" s="273">
        <v>589915</v>
      </c>
      <c r="Q16" s="273">
        <v>-2152921</v>
      </c>
    </row>
    <row r="17" spans="1:17" ht="12" customHeight="1">
      <c r="A17" s="53">
        <v>4380</v>
      </c>
      <c r="B17" s="54" t="s">
        <v>11</v>
      </c>
      <c r="C17" s="271">
        <v>11041384</v>
      </c>
      <c r="D17" s="271">
        <v>118331</v>
      </c>
      <c r="E17" s="271">
        <v>98699</v>
      </c>
      <c r="F17" s="271">
        <v>2066119</v>
      </c>
      <c r="G17" s="271">
        <v>528924</v>
      </c>
      <c r="H17" s="271">
        <v>2812073</v>
      </c>
      <c r="I17" s="271"/>
      <c r="J17" s="271">
        <v>1153321</v>
      </c>
      <c r="K17" s="271">
        <v>7001749</v>
      </c>
      <c r="L17" s="148">
        <v>3569195</v>
      </c>
      <c r="M17" s="271">
        <v>11724265</v>
      </c>
      <c r="N17" s="69"/>
      <c r="O17" s="69">
        <v>-2247547</v>
      </c>
      <c r="P17" s="69">
        <v>-1072354</v>
      </c>
      <c r="Q17" s="69">
        <v>-3319901</v>
      </c>
    </row>
    <row r="18" spans="1:17" ht="12" customHeight="1">
      <c r="A18" s="51">
        <v>2343</v>
      </c>
      <c r="B18" s="55" t="s">
        <v>409</v>
      </c>
      <c r="C18" s="272">
        <v>1064610</v>
      </c>
      <c r="D18" s="272">
        <v>11409</v>
      </c>
      <c r="E18" s="272">
        <v>9517</v>
      </c>
      <c r="F18" s="272">
        <v>199215</v>
      </c>
      <c r="G18" s="147">
        <v>457099</v>
      </c>
      <c r="H18" s="272">
        <v>677240</v>
      </c>
      <c r="I18" s="272"/>
      <c r="J18" s="272">
        <v>111203</v>
      </c>
      <c r="K18" s="272">
        <v>675108</v>
      </c>
      <c r="L18" s="272">
        <v>89203</v>
      </c>
      <c r="M18" s="272">
        <v>875514</v>
      </c>
      <c r="N18" s="273"/>
      <c r="O18" s="273">
        <v>-216708</v>
      </c>
      <c r="P18" s="273">
        <v>103087</v>
      </c>
      <c r="Q18" s="273">
        <v>-113621</v>
      </c>
    </row>
    <row r="19" spans="1:17" ht="12" customHeight="1">
      <c r="A19" s="53">
        <v>2435</v>
      </c>
      <c r="B19" s="54" t="s">
        <v>391</v>
      </c>
      <c r="C19" s="271">
        <v>422500</v>
      </c>
      <c r="D19" s="271">
        <v>4528</v>
      </c>
      <c r="E19" s="271">
        <v>3777</v>
      </c>
      <c r="F19" s="271">
        <v>79060</v>
      </c>
      <c r="G19" s="271">
        <v>317329</v>
      </c>
      <c r="H19" s="271">
        <v>404694</v>
      </c>
      <c r="I19" s="271"/>
      <c r="J19" s="271">
        <v>44132</v>
      </c>
      <c r="K19" s="271">
        <v>267923</v>
      </c>
      <c r="L19" s="148">
        <v>0</v>
      </c>
      <c r="M19" s="271">
        <v>312055</v>
      </c>
      <c r="N19" s="69"/>
      <c r="O19" s="69">
        <v>-86003</v>
      </c>
      <c r="P19" s="69">
        <v>168667</v>
      </c>
      <c r="Q19" s="69">
        <v>82664</v>
      </c>
    </row>
    <row r="20" spans="1:17" ht="12" customHeight="1">
      <c r="A20" s="51">
        <v>4560</v>
      </c>
      <c r="B20" s="55" t="s">
        <v>12</v>
      </c>
      <c r="C20" s="272">
        <v>1074195</v>
      </c>
      <c r="D20" s="272">
        <v>11512</v>
      </c>
      <c r="E20" s="272">
        <v>9602</v>
      </c>
      <c r="F20" s="272">
        <v>201009</v>
      </c>
      <c r="G20" s="272">
        <v>159276</v>
      </c>
      <c r="H20" s="272">
        <v>381399</v>
      </c>
      <c r="I20" s="272"/>
      <c r="J20" s="272">
        <v>112204</v>
      </c>
      <c r="K20" s="272">
        <v>681187</v>
      </c>
      <c r="L20" s="272">
        <v>144594</v>
      </c>
      <c r="M20" s="272">
        <v>937985</v>
      </c>
      <c r="N20" s="273"/>
      <c r="O20" s="273">
        <v>-218660</v>
      </c>
      <c r="P20" s="273">
        <v>-22384</v>
      </c>
      <c r="Q20" s="273">
        <v>-241044</v>
      </c>
    </row>
    <row r="21" spans="1:17" ht="12" customHeight="1">
      <c r="A21" s="53">
        <v>2341</v>
      </c>
      <c r="B21" s="54" t="s">
        <v>406</v>
      </c>
      <c r="C21" s="271">
        <v>608491</v>
      </c>
      <c r="D21" s="271">
        <v>6521</v>
      </c>
      <c r="E21" s="271">
        <v>5439</v>
      </c>
      <c r="F21" s="271">
        <v>113864</v>
      </c>
      <c r="G21" s="271">
        <v>0</v>
      </c>
      <c r="H21" s="271">
        <v>125824</v>
      </c>
      <c r="I21" s="271"/>
      <c r="J21" s="271">
        <v>63560</v>
      </c>
      <c r="K21" s="271">
        <v>385866</v>
      </c>
      <c r="L21" s="271">
        <v>113233</v>
      </c>
      <c r="M21" s="271">
        <v>562659</v>
      </c>
      <c r="N21" s="69"/>
      <c r="O21" s="69">
        <v>-123862</v>
      </c>
      <c r="P21" s="69">
        <v>-35179</v>
      </c>
      <c r="Q21" s="69">
        <v>-159041</v>
      </c>
    </row>
    <row r="22" spans="1:17" ht="12" customHeight="1">
      <c r="A22" s="51">
        <v>4580</v>
      </c>
      <c r="B22" s="55" t="s">
        <v>392</v>
      </c>
      <c r="C22" s="272">
        <v>623836</v>
      </c>
      <c r="D22" s="272">
        <v>6686</v>
      </c>
      <c r="E22" s="272">
        <v>5576</v>
      </c>
      <c r="F22" s="272">
        <v>116735</v>
      </c>
      <c r="G22" s="272">
        <v>94070</v>
      </c>
      <c r="H22" s="272">
        <v>223067</v>
      </c>
      <c r="I22" s="272"/>
      <c r="J22" s="272">
        <v>65162</v>
      </c>
      <c r="K22" s="272">
        <v>395597</v>
      </c>
      <c r="L22" s="147">
        <v>23995</v>
      </c>
      <c r="M22" s="272">
        <v>484754</v>
      </c>
      <c r="N22" s="273"/>
      <c r="O22" s="273">
        <v>-126986</v>
      </c>
      <c r="P22" s="273">
        <v>212958</v>
      </c>
      <c r="Q22" s="273">
        <v>85972</v>
      </c>
    </row>
    <row r="23" spans="1:17" ht="12" customHeight="1">
      <c r="A23" s="53">
        <v>2003</v>
      </c>
      <c r="B23" s="54" t="s">
        <v>13</v>
      </c>
      <c r="C23" s="271">
        <v>197413350</v>
      </c>
      <c r="D23" s="271">
        <v>2115687</v>
      </c>
      <c r="E23" s="271">
        <v>1764684</v>
      </c>
      <c r="F23" s="271">
        <v>36940983</v>
      </c>
      <c r="G23" s="271">
        <v>5708279</v>
      </c>
      <c r="H23" s="271">
        <v>46529633</v>
      </c>
      <c r="I23" s="271"/>
      <c r="J23" s="271">
        <v>20620690</v>
      </c>
      <c r="K23" s="271">
        <v>125187101</v>
      </c>
      <c r="L23" s="271">
        <v>13650214</v>
      </c>
      <c r="M23" s="271">
        <v>159458005</v>
      </c>
      <c r="N23" s="69"/>
      <c r="O23" s="69">
        <v>-40184798</v>
      </c>
      <c r="P23" s="69">
        <v>670571</v>
      </c>
      <c r="Q23" s="69">
        <v>-39514227</v>
      </c>
    </row>
    <row r="24" spans="1:17" ht="12" customHeight="1">
      <c r="A24" s="51">
        <v>2412</v>
      </c>
      <c r="B24" s="55" t="s">
        <v>14</v>
      </c>
      <c r="C24" s="272">
        <v>1906331</v>
      </c>
      <c r="D24" s="272">
        <v>20430</v>
      </c>
      <c r="E24" s="272">
        <v>17041</v>
      </c>
      <c r="F24" s="272">
        <v>356722</v>
      </c>
      <c r="G24" s="272">
        <v>966623</v>
      </c>
      <c r="H24" s="272">
        <v>1360816</v>
      </c>
      <c r="I24" s="272"/>
      <c r="J24" s="272">
        <v>199125</v>
      </c>
      <c r="K24" s="272">
        <v>1208875</v>
      </c>
      <c r="L24" s="272">
        <v>59983</v>
      </c>
      <c r="M24" s="272">
        <v>1467983</v>
      </c>
      <c r="N24" s="273"/>
      <c r="O24" s="273">
        <v>-388046</v>
      </c>
      <c r="P24" s="273">
        <v>499146</v>
      </c>
      <c r="Q24" s="273">
        <v>111100</v>
      </c>
    </row>
    <row r="25" spans="1:17" ht="12" customHeight="1">
      <c r="A25" s="53">
        <v>2402</v>
      </c>
      <c r="B25" s="54" t="s">
        <v>15</v>
      </c>
      <c r="C25" s="271">
        <v>946390</v>
      </c>
      <c r="D25" s="271">
        <v>10142</v>
      </c>
      <c r="E25" s="271">
        <v>8460</v>
      </c>
      <c r="F25" s="271">
        <v>177093</v>
      </c>
      <c r="G25" s="271">
        <v>599602</v>
      </c>
      <c r="H25" s="271">
        <v>795297</v>
      </c>
      <c r="I25" s="271"/>
      <c r="J25" s="271">
        <v>98855</v>
      </c>
      <c r="K25" s="271">
        <v>600141</v>
      </c>
      <c r="L25" s="271">
        <v>0</v>
      </c>
      <c r="M25" s="271">
        <v>698996</v>
      </c>
      <c r="N25" s="69"/>
      <c r="O25" s="69">
        <v>-192644</v>
      </c>
      <c r="P25" s="69">
        <v>142484</v>
      </c>
      <c r="Q25" s="69">
        <v>-50160</v>
      </c>
    </row>
    <row r="26" spans="1:17" ht="12" customHeight="1">
      <c r="A26" s="51">
        <v>2361</v>
      </c>
      <c r="B26" s="55" t="s">
        <v>16</v>
      </c>
      <c r="C26" s="272">
        <v>318602</v>
      </c>
      <c r="D26" s="272">
        <v>3414</v>
      </c>
      <c r="E26" s="272">
        <v>2848</v>
      </c>
      <c r="F26" s="272">
        <v>59618</v>
      </c>
      <c r="G26" s="272">
        <v>41764</v>
      </c>
      <c r="H26" s="272">
        <v>107644</v>
      </c>
      <c r="I26" s="272"/>
      <c r="J26" s="272">
        <v>33279</v>
      </c>
      <c r="K26" s="272">
        <v>202038</v>
      </c>
      <c r="L26" s="147">
        <v>158735</v>
      </c>
      <c r="M26" s="272">
        <v>394052</v>
      </c>
      <c r="N26" s="273"/>
      <c r="O26" s="273">
        <v>-64854</v>
      </c>
      <c r="P26" s="273">
        <v>-33259</v>
      </c>
      <c r="Q26" s="273">
        <v>-98113</v>
      </c>
    </row>
    <row r="27" spans="1:17" ht="12" customHeight="1">
      <c r="A27" s="53">
        <v>8347</v>
      </c>
      <c r="B27" s="54" t="s">
        <v>17</v>
      </c>
      <c r="C27" s="271">
        <v>601778</v>
      </c>
      <c r="D27" s="271">
        <v>6449</v>
      </c>
      <c r="E27" s="271">
        <v>5379</v>
      </c>
      <c r="F27" s="271">
        <v>112608</v>
      </c>
      <c r="G27" s="271">
        <v>216287</v>
      </c>
      <c r="H27" s="271">
        <v>340723</v>
      </c>
      <c r="I27" s="271"/>
      <c r="J27" s="271">
        <v>62858</v>
      </c>
      <c r="K27" s="271">
        <v>381610</v>
      </c>
      <c r="L27" s="271">
        <v>101080</v>
      </c>
      <c r="M27" s="271">
        <v>545548</v>
      </c>
      <c r="N27" s="69"/>
      <c r="O27" s="69">
        <v>-122496</v>
      </c>
      <c r="P27" s="69">
        <v>7918</v>
      </c>
      <c r="Q27" s="69">
        <v>-114578</v>
      </c>
    </row>
    <row r="28" spans="1:17" ht="12" customHeight="1">
      <c r="A28" s="51">
        <v>2356</v>
      </c>
      <c r="B28" s="55" t="s">
        <v>18</v>
      </c>
      <c r="C28" s="272">
        <v>1083725</v>
      </c>
      <c r="D28" s="272">
        <v>11614</v>
      </c>
      <c r="E28" s="272">
        <v>9687</v>
      </c>
      <c r="F28" s="272">
        <v>202792</v>
      </c>
      <c r="G28" s="272">
        <v>103730</v>
      </c>
      <c r="H28" s="272">
        <v>327823</v>
      </c>
      <c r="I28" s="272"/>
      <c r="J28" s="272">
        <v>113200</v>
      </c>
      <c r="K28" s="272">
        <v>687230</v>
      </c>
      <c r="L28" s="147">
        <v>0</v>
      </c>
      <c r="M28" s="272">
        <v>800430</v>
      </c>
      <c r="N28" s="273"/>
      <c r="O28" s="273">
        <v>-220599</v>
      </c>
      <c r="P28" s="273">
        <v>91430</v>
      </c>
      <c r="Q28" s="273">
        <v>-129169</v>
      </c>
    </row>
    <row r="29" spans="1:17" ht="12" customHeight="1">
      <c r="A29" s="53">
        <v>7335</v>
      </c>
      <c r="B29" s="54" t="s">
        <v>19</v>
      </c>
      <c r="C29" s="271">
        <v>299151</v>
      </c>
      <c r="D29" s="271">
        <v>3206</v>
      </c>
      <c r="E29" s="271">
        <v>2674</v>
      </c>
      <c r="F29" s="271">
        <v>55979</v>
      </c>
      <c r="G29" s="148">
        <v>111858</v>
      </c>
      <c r="H29" s="271">
        <v>173717</v>
      </c>
      <c r="I29" s="271"/>
      <c r="J29" s="271">
        <v>31248</v>
      </c>
      <c r="K29" s="271">
        <v>189703</v>
      </c>
      <c r="L29" s="271">
        <v>287102</v>
      </c>
      <c r="M29" s="271">
        <v>508053</v>
      </c>
      <c r="N29" s="69"/>
      <c r="O29" s="69">
        <v>-60894</v>
      </c>
      <c r="P29" s="69">
        <v>-39205</v>
      </c>
      <c r="Q29" s="69">
        <v>-100099</v>
      </c>
    </row>
    <row r="30" spans="1:17" ht="12" customHeight="1">
      <c r="A30" s="51">
        <v>2434</v>
      </c>
      <c r="B30" s="55" t="s">
        <v>393</v>
      </c>
      <c r="C30" s="272">
        <v>387760</v>
      </c>
      <c r="D30" s="272">
        <v>4156</v>
      </c>
      <c r="E30" s="272">
        <v>3466</v>
      </c>
      <c r="F30" s="272">
        <v>72560</v>
      </c>
      <c r="G30" s="272">
        <v>219604</v>
      </c>
      <c r="H30" s="272">
        <v>299786</v>
      </c>
      <c r="I30" s="272"/>
      <c r="J30" s="272">
        <v>40503</v>
      </c>
      <c r="K30" s="272">
        <v>245893</v>
      </c>
      <c r="L30" s="147">
        <v>13595</v>
      </c>
      <c r="M30" s="272">
        <v>299991</v>
      </c>
      <c r="N30" s="273"/>
      <c r="O30" s="273">
        <v>-78931</v>
      </c>
      <c r="P30" s="273">
        <v>155388</v>
      </c>
      <c r="Q30" s="273">
        <v>76457</v>
      </c>
    </row>
    <row r="31" spans="1:17" ht="12" customHeight="1">
      <c r="A31" s="53">
        <v>2303</v>
      </c>
      <c r="B31" s="54" t="s">
        <v>20</v>
      </c>
      <c r="C31" s="271">
        <v>670039</v>
      </c>
      <c r="D31" s="271">
        <v>7181</v>
      </c>
      <c r="E31" s="271">
        <v>5989</v>
      </c>
      <c r="F31" s="271">
        <v>125381</v>
      </c>
      <c r="G31" s="148">
        <v>27796</v>
      </c>
      <c r="H31" s="271">
        <v>166347</v>
      </c>
      <c r="I31" s="271"/>
      <c r="J31" s="271">
        <v>69989</v>
      </c>
      <c r="K31" s="271">
        <v>424896</v>
      </c>
      <c r="L31" s="271">
        <v>245559</v>
      </c>
      <c r="M31" s="271">
        <v>740444</v>
      </c>
      <c r="N31" s="69"/>
      <c r="O31" s="69">
        <v>-136391</v>
      </c>
      <c r="P31" s="69">
        <v>-102006</v>
      </c>
      <c r="Q31" s="69">
        <v>-238397</v>
      </c>
    </row>
    <row r="32" spans="1:17" ht="12" customHeight="1">
      <c r="A32" s="51">
        <v>20316</v>
      </c>
      <c r="B32" s="55" t="s">
        <v>21</v>
      </c>
      <c r="C32" s="272">
        <v>473706</v>
      </c>
      <c r="D32" s="272">
        <v>5077</v>
      </c>
      <c r="E32" s="272">
        <v>4234</v>
      </c>
      <c r="F32" s="272">
        <v>88642</v>
      </c>
      <c r="G32" s="272">
        <v>125865</v>
      </c>
      <c r="H32" s="272">
        <v>223818</v>
      </c>
      <c r="I32" s="272"/>
      <c r="J32" s="272">
        <v>49481</v>
      </c>
      <c r="K32" s="272">
        <v>300395</v>
      </c>
      <c r="L32" s="147">
        <v>19875</v>
      </c>
      <c r="M32" s="272">
        <v>369751</v>
      </c>
      <c r="N32" s="273"/>
      <c r="O32" s="273">
        <v>-96426</v>
      </c>
      <c r="P32" s="273">
        <v>43692</v>
      </c>
      <c r="Q32" s="273">
        <v>-52734</v>
      </c>
    </row>
    <row r="33" spans="1:17" ht="12" customHeight="1">
      <c r="A33" s="53">
        <v>23121</v>
      </c>
      <c r="B33" s="54" t="s">
        <v>22</v>
      </c>
      <c r="C33" s="271">
        <v>578557</v>
      </c>
      <c r="D33" s="271">
        <v>6200</v>
      </c>
      <c r="E33" s="271">
        <v>5172</v>
      </c>
      <c r="F33" s="271">
        <v>108263</v>
      </c>
      <c r="G33" s="271">
        <v>103453</v>
      </c>
      <c r="H33" s="271">
        <v>223088</v>
      </c>
      <c r="I33" s="271"/>
      <c r="J33" s="271">
        <v>60433</v>
      </c>
      <c r="K33" s="271">
        <v>366885</v>
      </c>
      <c r="L33" s="271">
        <v>48221</v>
      </c>
      <c r="M33" s="271">
        <v>475539</v>
      </c>
      <c r="N33" s="69"/>
      <c r="O33" s="69">
        <v>-117769</v>
      </c>
      <c r="P33" s="69">
        <v>-15373</v>
      </c>
      <c r="Q33" s="69">
        <v>-133142</v>
      </c>
    </row>
    <row r="34" spans="1:17" ht="12" customHeight="1">
      <c r="A34" s="51">
        <v>3004</v>
      </c>
      <c r="B34" s="55" t="s">
        <v>23</v>
      </c>
      <c r="C34" s="272">
        <v>8454419</v>
      </c>
      <c r="D34" s="272">
        <v>90606</v>
      </c>
      <c r="E34" s="272">
        <v>75574</v>
      </c>
      <c r="F34" s="272">
        <v>1582034</v>
      </c>
      <c r="G34" s="272">
        <v>528888</v>
      </c>
      <c r="H34" s="272">
        <v>2277102</v>
      </c>
      <c r="I34" s="272"/>
      <c r="J34" s="272">
        <v>883101</v>
      </c>
      <c r="K34" s="272">
        <v>5361260</v>
      </c>
      <c r="L34" s="272">
        <v>897249</v>
      </c>
      <c r="M34" s="272">
        <v>7141610</v>
      </c>
      <c r="N34" s="273"/>
      <c r="O34" s="273">
        <v>-1720953</v>
      </c>
      <c r="P34" s="273">
        <v>-122898</v>
      </c>
      <c r="Q34" s="273">
        <v>-1843851</v>
      </c>
    </row>
    <row r="35" spans="1:17" ht="12" customHeight="1">
      <c r="A35" s="53">
        <v>16050</v>
      </c>
      <c r="B35" s="54" t="s">
        <v>24</v>
      </c>
      <c r="C35" s="271">
        <v>5544438</v>
      </c>
      <c r="D35" s="271">
        <v>59420</v>
      </c>
      <c r="E35" s="271">
        <v>49562</v>
      </c>
      <c r="F35" s="271">
        <v>1037503</v>
      </c>
      <c r="G35" s="271">
        <v>209382</v>
      </c>
      <c r="H35" s="271">
        <v>1355867</v>
      </c>
      <c r="I35" s="271"/>
      <c r="J35" s="271">
        <v>579141</v>
      </c>
      <c r="K35" s="271">
        <v>3515933</v>
      </c>
      <c r="L35" s="271">
        <v>737185</v>
      </c>
      <c r="M35" s="271">
        <v>4832259</v>
      </c>
      <c r="N35" s="69"/>
      <c r="O35" s="69">
        <v>-1128607</v>
      </c>
      <c r="P35" s="69">
        <v>-112115</v>
      </c>
      <c r="Q35" s="69">
        <v>-1240722</v>
      </c>
    </row>
    <row r="36" spans="1:17" ht="12" customHeight="1">
      <c r="A36" s="51">
        <v>14043</v>
      </c>
      <c r="B36" s="55" t="s">
        <v>25</v>
      </c>
      <c r="C36" s="272">
        <v>8474599</v>
      </c>
      <c r="D36" s="272">
        <v>90823</v>
      </c>
      <c r="E36" s="272">
        <v>75755</v>
      </c>
      <c r="F36" s="272">
        <v>1585810</v>
      </c>
      <c r="G36" s="272">
        <v>740404</v>
      </c>
      <c r="H36" s="272">
        <v>2492792</v>
      </c>
      <c r="I36" s="272"/>
      <c r="J36" s="272">
        <v>885209</v>
      </c>
      <c r="K36" s="272">
        <v>5374056</v>
      </c>
      <c r="L36" s="272">
        <v>1128920</v>
      </c>
      <c r="M36" s="272">
        <v>7388185</v>
      </c>
      <c r="N36" s="273"/>
      <c r="O36" s="273">
        <v>-1725061</v>
      </c>
      <c r="P36" s="273">
        <v>77025</v>
      </c>
      <c r="Q36" s="273">
        <v>-1648036</v>
      </c>
    </row>
    <row r="37" spans="1:17" ht="12" customHeight="1">
      <c r="A37" s="53" t="s">
        <v>506</v>
      </c>
      <c r="B37" s="54" t="s">
        <v>26</v>
      </c>
      <c r="C37" s="271">
        <v>51761038</v>
      </c>
      <c r="D37" s="271">
        <v>554725</v>
      </c>
      <c r="E37" s="271">
        <v>462694</v>
      </c>
      <c r="F37" s="271">
        <v>9685787</v>
      </c>
      <c r="G37" s="271">
        <v>4629528</v>
      </c>
      <c r="H37" s="271">
        <v>15332734</v>
      </c>
      <c r="I37" s="271"/>
      <c r="J37" s="271">
        <v>5406667</v>
      </c>
      <c r="K37" s="271">
        <v>32823587</v>
      </c>
      <c r="L37" s="148">
        <v>4489782</v>
      </c>
      <c r="M37" s="271">
        <v>42720036</v>
      </c>
      <c r="N37" s="69"/>
      <c r="O37" s="69">
        <v>-10536303</v>
      </c>
      <c r="P37" s="69">
        <v>-350041</v>
      </c>
      <c r="Q37" s="69">
        <v>-10886344</v>
      </c>
    </row>
    <row r="38" spans="1:17" ht="12" customHeight="1">
      <c r="A38" s="51">
        <v>29086</v>
      </c>
      <c r="B38" s="55" t="s">
        <v>27</v>
      </c>
      <c r="C38" s="272">
        <v>9610104</v>
      </c>
      <c r="D38" s="272">
        <v>102992</v>
      </c>
      <c r="E38" s="272">
        <v>85905</v>
      </c>
      <c r="F38" s="272">
        <v>1798291</v>
      </c>
      <c r="G38" s="272">
        <v>3012655</v>
      </c>
      <c r="H38" s="272">
        <v>4999843</v>
      </c>
      <c r="I38" s="272"/>
      <c r="J38" s="272">
        <v>1003818</v>
      </c>
      <c r="K38" s="272">
        <v>6094122</v>
      </c>
      <c r="L38" s="147">
        <v>669495</v>
      </c>
      <c r="M38" s="272">
        <v>7767435</v>
      </c>
      <c r="N38" s="273"/>
      <c r="O38" s="273">
        <v>-1956201</v>
      </c>
      <c r="P38" s="273">
        <v>656110</v>
      </c>
      <c r="Q38" s="273">
        <v>-1300091</v>
      </c>
    </row>
    <row r="39" spans="1:17" ht="12" customHeight="1">
      <c r="A39" s="53">
        <v>16051</v>
      </c>
      <c r="B39" s="54" t="s">
        <v>28</v>
      </c>
      <c r="C39" s="271">
        <v>6664655</v>
      </c>
      <c r="D39" s="271">
        <v>71425</v>
      </c>
      <c r="E39" s="271">
        <v>59576</v>
      </c>
      <c r="F39" s="271">
        <v>1247124</v>
      </c>
      <c r="G39" s="271">
        <v>553105</v>
      </c>
      <c r="H39" s="271">
        <v>1931230</v>
      </c>
      <c r="I39" s="271"/>
      <c r="J39" s="271">
        <v>696152</v>
      </c>
      <c r="K39" s="271">
        <v>4226304</v>
      </c>
      <c r="L39" s="271">
        <v>571649</v>
      </c>
      <c r="M39" s="271">
        <v>5494105</v>
      </c>
      <c r="N39" s="69"/>
      <c r="O39" s="69">
        <v>-1356635</v>
      </c>
      <c r="P39" s="69">
        <v>57885</v>
      </c>
      <c r="Q39" s="69">
        <v>-1298750</v>
      </c>
    </row>
    <row r="40" spans="1:17" ht="12" customHeight="1">
      <c r="A40" s="51">
        <v>26077</v>
      </c>
      <c r="B40" s="55" t="s">
        <v>29</v>
      </c>
      <c r="C40" s="272">
        <v>1360132</v>
      </c>
      <c r="D40" s="272">
        <v>14577</v>
      </c>
      <c r="E40" s="272">
        <v>12158</v>
      </c>
      <c r="F40" s="272">
        <v>254515</v>
      </c>
      <c r="G40" s="272">
        <v>137612</v>
      </c>
      <c r="H40" s="272">
        <v>418862</v>
      </c>
      <c r="I40" s="272"/>
      <c r="J40" s="272">
        <v>142072</v>
      </c>
      <c r="K40" s="272">
        <v>862510</v>
      </c>
      <c r="L40" s="272">
        <v>25498</v>
      </c>
      <c r="M40" s="272">
        <v>1030080</v>
      </c>
      <c r="N40" s="273"/>
      <c r="O40" s="273">
        <v>-276864</v>
      </c>
      <c r="P40" s="273">
        <v>29950</v>
      </c>
      <c r="Q40" s="273">
        <v>-246914</v>
      </c>
    </row>
    <row r="41" spans="1:17" ht="12" customHeight="1">
      <c r="A41" s="53">
        <v>3005</v>
      </c>
      <c r="B41" s="54" t="s">
        <v>30</v>
      </c>
      <c r="C41" s="271">
        <v>17098024</v>
      </c>
      <c r="D41" s="271">
        <v>183240</v>
      </c>
      <c r="E41" s="271">
        <v>152840</v>
      </c>
      <c r="F41" s="271">
        <v>3199469</v>
      </c>
      <c r="G41" s="271">
        <v>3252365</v>
      </c>
      <c r="H41" s="271">
        <v>6787914</v>
      </c>
      <c r="I41" s="271"/>
      <c r="J41" s="271">
        <v>1785964</v>
      </c>
      <c r="K41" s="271">
        <v>10842489</v>
      </c>
      <c r="L41" s="271">
        <v>758359</v>
      </c>
      <c r="M41" s="271">
        <v>13386812</v>
      </c>
      <c r="N41" s="69"/>
      <c r="O41" s="69">
        <v>-3480416</v>
      </c>
      <c r="P41" s="69">
        <v>148933</v>
      </c>
      <c r="Q41" s="69">
        <v>-3331483</v>
      </c>
    </row>
    <row r="42" spans="1:17" ht="12" customHeight="1">
      <c r="A42" s="51">
        <v>26078</v>
      </c>
      <c r="B42" s="55" t="s">
        <v>31</v>
      </c>
      <c r="C42" s="272">
        <v>548722</v>
      </c>
      <c r="D42" s="272">
        <v>5881</v>
      </c>
      <c r="E42" s="272">
        <v>4905</v>
      </c>
      <c r="F42" s="272">
        <v>102680</v>
      </c>
      <c r="G42" s="272">
        <v>79746</v>
      </c>
      <c r="H42" s="272">
        <v>193212</v>
      </c>
      <c r="I42" s="272"/>
      <c r="J42" s="272">
        <v>57316</v>
      </c>
      <c r="K42" s="272">
        <v>347965</v>
      </c>
      <c r="L42" s="272">
        <v>84503</v>
      </c>
      <c r="M42" s="272">
        <v>489784</v>
      </c>
      <c r="N42" s="273"/>
      <c r="O42" s="273">
        <v>-111696</v>
      </c>
      <c r="P42" s="273">
        <v>338</v>
      </c>
      <c r="Q42" s="273">
        <v>-111358</v>
      </c>
    </row>
    <row r="43" spans="1:17" ht="12" customHeight="1">
      <c r="A43" s="53">
        <v>16053</v>
      </c>
      <c r="B43" s="54" t="s">
        <v>32</v>
      </c>
      <c r="C43" s="271">
        <v>16632221</v>
      </c>
      <c r="D43" s="271">
        <v>178248</v>
      </c>
      <c r="E43" s="271">
        <v>148676</v>
      </c>
      <c r="F43" s="271">
        <v>3112305</v>
      </c>
      <c r="G43" s="271">
        <v>3314128</v>
      </c>
      <c r="H43" s="271">
        <v>6753357</v>
      </c>
      <c r="I43" s="271"/>
      <c r="J43" s="271">
        <v>1737308</v>
      </c>
      <c r="K43" s="271">
        <v>10547106</v>
      </c>
      <c r="L43" s="148">
        <v>2747553</v>
      </c>
      <c r="M43" s="271">
        <v>15031967</v>
      </c>
      <c r="N43" s="69"/>
      <c r="O43" s="69">
        <v>-3385599</v>
      </c>
      <c r="P43" s="69">
        <v>279295</v>
      </c>
      <c r="Q43" s="69">
        <v>-3106304</v>
      </c>
    </row>
    <row r="44" spans="1:17" ht="12" customHeight="1">
      <c r="A44" s="51">
        <v>2123</v>
      </c>
      <c r="B44" s="55" t="s">
        <v>33</v>
      </c>
      <c r="C44" s="272">
        <v>28133298</v>
      </c>
      <c r="D44" s="272">
        <v>301506</v>
      </c>
      <c r="E44" s="272">
        <v>251484</v>
      </c>
      <c r="F44" s="272">
        <v>5264445</v>
      </c>
      <c r="G44" s="272">
        <v>5376032</v>
      </c>
      <c r="H44" s="272">
        <v>11193467</v>
      </c>
      <c r="I44" s="272"/>
      <c r="J44" s="272">
        <v>2938646</v>
      </c>
      <c r="K44" s="272">
        <v>17840364</v>
      </c>
      <c r="L44" s="147">
        <v>7382471</v>
      </c>
      <c r="M44" s="272">
        <v>28161481</v>
      </c>
      <c r="N44" s="273"/>
      <c r="O44" s="273">
        <v>-5726720</v>
      </c>
      <c r="P44" s="273">
        <v>-1383757</v>
      </c>
      <c r="Q44" s="273">
        <v>-7110477</v>
      </c>
    </row>
    <row r="45" spans="1:17" ht="12" customHeight="1">
      <c r="A45" s="53">
        <v>2150</v>
      </c>
      <c r="B45" s="54" t="s">
        <v>34</v>
      </c>
      <c r="C45" s="271">
        <v>2370901</v>
      </c>
      <c r="D45" s="271">
        <v>25409</v>
      </c>
      <c r="E45" s="271">
        <v>21194</v>
      </c>
      <c r="F45" s="271">
        <v>443655</v>
      </c>
      <c r="G45" s="271">
        <v>1807895</v>
      </c>
      <c r="H45" s="271">
        <v>2298153</v>
      </c>
      <c r="I45" s="271"/>
      <c r="J45" s="271">
        <v>247651</v>
      </c>
      <c r="K45" s="271">
        <v>1503476</v>
      </c>
      <c r="L45" s="271">
        <v>57027</v>
      </c>
      <c r="M45" s="271">
        <v>1808154</v>
      </c>
      <c r="N45" s="69"/>
      <c r="O45" s="69">
        <v>-482613</v>
      </c>
      <c r="P45" s="69">
        <v>501143</v>
      </c>
      <c r="Q45" s="69">
        <v>18530</v>
      </c>
    </row>
    <row r="46" spans="1:17" ht="12" customHeight="1">
      <c r="A46" s="51">
        <v>2336</v>
      </c>
      <c r="B46" s="55" t="s">
        <v>35</v>
      </c>
      <c r="C46" s="272">
        <v>446464</v>
      </c>
      <c r="D46" s="272">
        <v>4785</v>
      </c>
      <c r="E46" s="272">
        <v>3991</v>
      </c>
      <c r="F46" s="272">
        <v>83545</v>
      </c>
      <c r="G46" s="272">
        <v>58222</v>
      </c>
      <c r="H46" s="272">
        <v>150543</v>
      </c>
      <c r="I46" s="272"/>
      <c r="J46" s="272">
        <v>46635</v>
      </c>
      <c r="K46" s="272">
        <v>283119</v>
      </c>
      <c r="L46" s="272">
        <v>41164</v>
      </c>
      <c r="M46" s="272">
        <v>370918</v>
      </c>
      <c r="N46" s="273"/>
      <c r="O46" s="273">
        <v>-90881</v>
      </c>
      <c r="P46" s="273">
        <v>20180</v>
      </c>
      <c r="Q46" s="273">
        <v>-70701</v>
      </c>
    </row>
    <row r="47" spans="1:17" ht="12" customHeight="1">
      <c r="A47" s="53">
        <v>17126</v>
      </c>
      <c r="B47" s="54" t="s">
        <v>36</v>
      </c>
      <c r="C47" s="271">
        <v>1225081</v>
      </c>
      <c r="D47" s="271">
        <v>13129</v>
      </c>
      <c r="E47" s="271">
        <v>10951</v>
      </c>
      <c r="F47" s="271">
        <v>229243</v>
      </c>
      <c r="G47" s="271">
        <v>153374</v>
      </c>
      <c r="H47" s="271">
        <v>406697</v>
      </c>
      <c r="I47" s="271"/>
      <c r="J47" s="271">
        <v>127965</v>
      </c>
      <c r="K47" s="271">
        <v>776869</v>
      </c>
      <c r="L47" s="148">
        <v>176200</v>
      </c>
      <c r="M47" s="271">
        <v>1081034</v>
      </c>
      <c r="N47" s="69"/>
      <c r="O47" s="69">
        <v>-249373</v>
      </c>
      <c r="P47" s="69">
        <v>-11619</v>
      </c>
      <c r="Q47" s="69">
        <v>-260992</v>
      </c>
    </row>
    <row r="48" spans="1:17" ht="12" customHeight="1">
      <c r="A48" s="51">
        <v>3030</v>
      </c>
      <c r="B48" s="55" t="s">
        <v>37</v>
      </c>
      <c r="C48" s="272">
        <v>3157296</v>
      </c>
      <c r="D48" s="272">
        <v>33837</v>
      </c>
      <c r="E48" s="272">
        <v>28223</v>
      </c>
      <c r="F48" s="272">
        <v>590809</v>
      </c>
      <c r="G48" s="147">
        <v>0</v>
      </c>
      <c r="H48" s="272">
        <v>652869</v>
      </c>
      <c r="I48" s="272"/>
      <c r="J48" s="272">
        <v>329793</v>
      </c>
      <c r="K48" s="272">
        <v>2002158</v>
      </c>
      <c r="L48" s="147">
        <v>1074191</v>
      </c>
      <c r="M48" s="272">
        <v>3406142</v>
      </c>
      <c r="N48" s="273"/>
      <c r="O48" s="273">
        <v>-642688</v>
      </c>
      <c r="P48" s="273">
        <v>-427595</v>
      </c>
      <c r="Q48" s="273">
        <v>-1070283</v>
      </c>
    </row>
    <row r="49" spans="1:17" ht="12" customHeight="1">
      <c r="A49" s="53">
        <v>2353</v>
      </c>
      <c r="B49" s="54" t="s">
        <v>38</v>
      </c>
      <c r="C49" s="271">
        <v>1371441</v>
      </c>
      <c r="D49" s="271">
        <v>14698</v>
      </c>
      <c r="E49" s="271">
        <v>12259</v>
      </c>
      <c r="F49" s="271">
        <v>256631</v>
      </c>
      <c r="G49" s="271">
        <v>813540</v>
      </c>
      <c r="H49" s="271">
        <v>1097128</v>
      </c>
      <c r="I49" s="271"/>
      <c r="J49" s="271">
        <v>143253</v>
      </c>
      <c r="K49" s="271">
        <v>869681</v>
      </c>
      <c r="L49" s="271">
        <v>143726</v>
      </c>
      <c r="M49" s="271">
        <v>1156660</v>
      </c>
      <c r="N49" s="69"/>
      <c r="O49" s="69">
        <v>-279166</v>
      </c>
      <c r="P49" s="69">
        <v>246391</v>
      </c>
      <c r="Q49" s="69">
        <v>-32775</v>
      </c>
    </row>
    <row r="50" spans="1:17" ht="12" customHeight="1">
      <c r="A50" s="51">
        <v>3040</v>
      </c>
      <c r="B50" s="55" t="s">
        <v>39</v>
      </c>
      <c r="C50" s="272">
        <v>1467995</v>
      </c>
      <c r="D50" s="272">
        <v>15733</v>
      </c>
      <c r="E50" s="272">
        <v>13122</v>
      </c>
      <c r="F50" s="272">
        <v>274699</v>
      </c>
      <c r="G50" s="272">
        <v>246498</v>
      </c>
      <c r="H50" s="272">
        <v>550052</v>
      </c>
      <c r="I50" s="272"/>
      <c r="J50" s="272">
        <v>153339</v>
      </c>
      <c r="K50" s="272">
        <v>930910</v>
      </c>
      <c r="L50" s="272">
        <v>115142</v>
      </c>
      <c r="M50" s="272">
        <v>1199391</v>
      </c>
      <c r="N50" s="273"/>
      <c r="O50" s="273">
        <v>-298820</v>
      </c>
      <c r="P50" s="273">
        <v>-65077</v>
      </c>
      <c r="Q50" s="273">
        <v>-363897</v>
      </c>
    </row>
    <row r="51" spans="1:17" ht="12" customHeight="1">
      <c r="A51" s="53">
        <v>2367</v>
      </c>
      <c r="B51" s="54" t="s">
        <v>40</v>
      </c>
      <c r="C51" s="271">
        <v>1176860</v>
      </c>
      <c r="D51" s="271">
        <v>12612</v>
      </c>
      <c r="E51" s="271">
        <v>10520</v>
      </c>
      <c r="F51" s="271">
        <v>220220</v>
      </c>
      <c r="G51" s="271">
        <v>451343</v>
      </c>
      <c r="H51" s="271">
        <v>694695</v>
      </c>
      <c r="I51" s="271"/>
      <c r="J51" s="271">
        <v>122928</v>
      </c>
      <c r="K51" s="271">
        <v>746290</v>
      </c>
      <c r="L51" s="271">
        <v>8666</v>
      </c>
      <c r="M51" s="271">
        <v>877884</v>
      </c>
      <c r="N51" s="69"/>
      <c r="O51" s="69">
        <v>-239558</v>
      </c>
      <c r="P51" s="69">
        <v>139883</v>
      </c>
      <c r="Q51" s="69">
        <v>-99675</v>
      </c>
    </row>
    <row r="52" spans="1:17" ht="12" customHeight="1">
      <c r="A52" s="51">
        <v>9027</v>
      </c>
      <c r="B52" s="55" t="s">
        <v>41</v>
      </c>
      <c r="C52" s="272">
        <v>1249591</v>
      </c>
      <c r="D52" s="272">
        <v>13392</v>
      </c>
      <c r="E52" s="272">
        <v>11170</v>
      </c>
      <c r="F52" s="272">
        <v>233830</v>
      </c>
      <c r="G52" s="272">
        <v>202033</v>
      </c>
      <c r="H52" s="272">
        <v>460425</v>
      </c>
      <c r="I52" s="272"/>
      <c r="J52" s="272">
        <v>130525</v>
      </c>
      <c r="K52" s="272">
        <v>792412</v>
      </c>
      <c r="L52" s="272">
        <v>202786</v>
      </c>
      <c r="M52" s="272">
        <v>1125723</v>
      </c>
      <c r="N52" s="273"/>
      <c r="O52" s="273">
        <v>-254363</v>
      </c>
      <c r="P52" s="273">
        <v>15662</v>
      </c>
      <c r="Q52" s="273">
        <v>-238701</v>
      </c>
    </row>
    <row r="53" spans="1:17" ht="12" customHeight="1">
      <c r="A53" s="53">
        <v>2010</v>
      </c>
      <c r="B53" s="54" t="s">
        <v>42</v>
      </c>
      <c r="C53" s="271">
        <v>4675642</v>
      </c>
      <c r="D53" s="271">
        <v>50109</v>
      </c>
      <c r="E53" s="271">
        <v>41796</v>
      </c>
      <c r="F53" s="271">
        <v>874930</v>
      </c>
      <c r="G53" s="271">
        <v>361568</v>
      </c>
      <c r="H53" s="271">
        <v>1328403</v>
      </c>
      <c r="I53" s="271"/>
      <c r="J53" s="271">
        <v>488391</v>
      </c>
      <c r="K53" s="271">
        <v>2964998</v>
      </c>
      <c r="L53" s="148">
        <v>648983</v>
      </c>
      <c r="M53" s="271">
        <v>4102372</v>
      </c>
      <c r="N53" s="69"/>
      <c r="O53" s="69">
        <v>-951758</v>
      </c>
      <c r="P53" s="69">
        <v>-216356</v>
      </c>
      <c r="Q53" s="69">
        <v>-1168114</v>
      </c>
    </row>
    <row r="54" spans="1:17" ht="12" customHeight="1">
      <c r="A54" s="51">
        <v>2020</v>
      </c>
      <c r="B54" s="55" t="s">
        <v>43</v>
      </c>
      <c r="C54" s="272">
        <v>116042765</v>
      </c>
      <c r="D54" s="272">
        <v>1243635</v>
      </c>
      <c r="E54" s="272">
        <v>1037310</v>
      </c>
      <c r="F54" s="272">
        <v>21714508</v>
      </c>
      <c r="G54" s="272">
        <v>928319</v>
      </c>
      <c r="H54" s="272">
        <v>24923772</v>
      </c>
      <c r="I54" s="272"/>
      <c r="J54" s="272">
        <v>12121175</v>
      </c>
      <c r="K54" s="272">
        <v>73587006</v>
      </c>
      <c r="L54" s="147">
        <v>11755536</v>
      </c>
      <c r="M54" s="272">
        <v>97463717</v>
      </c>
      <c r="N54" s="273"/>
      <c r="O54" s="273">
        <v>-23621275</v>
      </c>
      <c r="P54" s="273">
        <v>-3652781</v>
      </c>
      <c r="Q54" s="273">
        <v>-27274056</v>
      </c>
    </row>
    <row r="55" spans="1:17" ht="12" customHeight="1">
      <c r="A55" s="53">
        <v>2040</v>
      </c>
      <c r="B55" s="54" t="s">
        <v>44</v>
      </c>
      <c r="C55" s="271">
        <v>1577821</v>
      </c>
      <c r="D55" s="271">
        <v>16910</v>
      </c>
      <c r="E55" s="271">
        <v>14104</v>
      </c>
      <c r="F55" s="271">
        <v>295250</v>
      </c>
      <c r="G55" s="271">
        <v>127178</v>
      </c>
      <c r="H55" s="271">
        <v>453442</v>
      </c>
      <c r="I55" s="271"/>
      <c r="J55" s="271">
        <v>164810</v>
      </c>
      <c r="K55" s="271">
        <v>1000555</v>
      </c>
      <c r="L55" s="148">
        <v>222188</v>
      </c>
      <c r="M55" s="271">
        <v>1387553</v>
      </c>
      <c r="N55" s="69"/>
      <c r="O55" s="69">
        <v>-321176</v>
      </c>
      <c r="P55" s="69">
        <v>-34471</v>
      </c>
      <c r="Q55" s="69">
        <v>-355647</v>
      </c>
    </row>
    <row r="56" spans="1:17" ht="12" customHeight="1">
      <c r="A56" s="51">
        <v>2060</v>
      </c>
      <c r="B56" s="55" t="s">
        <v>45</v>
      </c>
      <c r="C56" s="272">
        <v>2277401</v>
      </c>
      <c r="D56" s="272">
        <v>24407</v>
      </c>
      <c r="E56" s="272">
        <v>20358</v>
      </c>
      <c r="F56" s="272">
        <v>426159</v>
      </c>
      <c r="G56" s="272">
        <v>1183581</v>
      </c>
      <c r="H56" s="272">
        <v>1654505</v>
      </c>
      <c r="I56" s="272"/>
      <c r="J56" s="272">
        <v>237885</v>
      </c>
      <c r="K56" s="272">
        <v>1444184</v>
      </c>
      <c r="L56" s="147">
        <v>100857</v>
      </c>
      <c r="M56" s="272">
        <v>1782926</v>
      </c>
      <c r="N56" s="273"/>
      <c r="O56" s="273">
        <v>-463580</v>
      </c>
      <c r="P56" s="273">
        <v>272599</v>
      </c>
      <c r="Q56" s="273">
        <v>-190981</v>
      </c>
    </row>
    <row r="57" spans="1:17" ht="12" customHeight="1">
      <c r="A57" s="53">
        <v>2090</v>
      </c>
      <c r="B57" s="54" t="s">
        <v>46</v>
      </c>
      <c r="C57" s="271">
        <v>1348024</v>
      </c>
      <c r="D57" s="271">
        <v>14447</v>
      </c>
      <c r="E57" s="271">
        <v>12050</v>
      </c>
      <c r="F57" s="271">
        <v>252249</v>
      </c>
      <c r="G57" s="271">
        <v>96148</v>
      </c>
      <c r="H57" s="271">
        <v>374894</v>
      </c>
      <c r="I57" s="271"/>
      <c r="J57" s="271">
        <v>140807</v>
      </c>
      <c r="K57" s="271">
        <v>854832</v>
      </c>
      <c r="L57" s="148">
        <v>119013</v>
      </c>
      <c r="M57" s="271">
        <v>1114652</v>
      </c>
      <c r="N57" s="69"/>
      <c r="O57" s="69">
        <v>-274399</v>
      </c>
      <c r="P57" s="69">
        <v>-81795</v>
      </c>
      <c r="Q57" s="69">
        <v>-356194</v>
      </c>
    </row>
    <row r="58" spans="1:17" ht="12" customHeight="1">
      <c r="A58" s="51">
        <v>2110</v>
      </c>
      <c r="B58" s="52" t="s">
        <v>47</v>
      </c>
      <c r="C58" s="115">
        <v>9273508</v>
      </c>
      <c r="D58" s="115">
        <v>99385</v>
      </c>
      <c r="E58" s="115">
        <v>82896</v>
      </c>
      <c r="F58" s="115">
        <v>1735306</v>
      </c>
      <c r="G58" s="115">
        <v>0</v>
      </c>
      <c r="H58" s="115">
        <v>1917587</v>
      </c>
      <c r="I58" s="115"/>
      <c r="J58" s="115">
        <v>968659</v>
      </c>
      <c r="K58" s="115">
        <v>5880674</v>
      </c>
      <c r="L58" s="117">
        <v>2754746</v>
      </c>
      <c r="M58" s="115">
        <v>9604079</v>
      </c>
      <c r="N58" s="116"/>
      <c r="O58" s="116">
        <v>-1887684</v>
      </c>
      <c r="P58" s="116">
        <v>-762992</v>
      </c>
      <c r="Q58" s="116">
        <v>-2650676</v>
      </c>
    </row>
    <row r="59" spans="1:17" ht="12" customHeight="1">
      <c r="A59" s="53">
        <v>2180</v>
      </c>
      <c r="B59" s="54" t="s">
        <v>48</v>
      </c>
      <c r="C59" s="271">
        <v>4631457</v>
      </c>
      <c r="D59" s="271">
        <v>49636</v>
      </c>
      <c r="E59" s="271">
        <v>41401</v>
      </c>
      <c r="F59" s="271">
        <v>866662</v>
      </c>
      <c r="G59" s="271">
        <v>63021</v>
      </c>
      <c r="H59" s="271">
        <v>1020720</v>
      </c>
      <c r="I59" s="271"/>
      <c r="J59" s="271">
        <v>483776</v>
      </c>
      <c r="K59" s="271">
        <v>2936978</v>
      </c>
      <c r="L59" s="271">
        <v>903051</v>
      </c>
      <c r="M59" s="271">
        <v>4323805</v>
      </c>
      <c r="N59" s="69"/>
      <c r="O59" s="69">
        <v>-942764</v>
      </c>
      <c r="P59" s="69">
        <v>-367439</v>
      </c>
      <c r="Q59" s="69">
        <v>-1310203</v>
      </c>
    </row>
    <row r="60" spans="1:17" ht="12" customHeight="1">
      <c r="A60" s="51">
        <v>2210</v>
      </c>
      <c r="B60" s="55" t="s">
        <v>49</v>
      </c>
      <c r="C60" s="272">
        <v>2090009</v>
      </c>
      <c r="D60" s="272">
        <v>22399</v>
      </c>
      <c r="E60" s="272">
        <v>18683</v>
      </c>
      <c r="F60" s="272">
        <v>391093</v>
      </c>
      <c r="G60" s="272">
        <v>150526</v>
      </c>
      <c r="H60" s="272">
        <v>582701</v>
      </c>
      <c r="I60" s="272"/>
      <c r="J60" s="272">
        <v>218311</v>
      </c>
      <c r="K60" s="272">
        <v>1325352</v>
      </c>
      <c r="L60" s="272">
        <v>659846</v>
      </c>
      <c r="M60" s="272">
        <v>2203509</v>
      </c>
      <c r="N60" s="273"/>
      <c r="O60" s="273">
        <v>-425435</v>
      </c>
      <c r="P60" s="273">
        <v>-237900</v>
      </c>
      <c r="Q60" s="273">
        <v>-663335</v>
      </c>
    </row>
    <row r="61" spans="1:17" ht="12" customHeight="1">
      <c r="A61" s="53">
        <v>2290</v>
      </c>
      <c r="B61" s="54" t="s">
        <v>50</v>
      </c>
      <c r="C61" s="271">
        <v>2250074</v>
      </c>
      <c r="D61" s="271">
        <v>24114</v>
      </c>
      <c r="E61" s="271">
        <v>20113</v>
      </c>
      <c r="F61" s="271">
        <v>421045</v>
      </c>
      <c r="G61" s="271">
        <v>63341</v>
      </c>
      <c r="H61" s="271">
        <v>528613</v>
      </c>
      <c r="I61" s="271"/>
      <c r="J61" s="271">
        <v>235030</v>
      </c>
      <c r="K61" s="271">
        <v>1426855</v>
      </c>
      <c r="L61" s="271">
        <v>215561</v>
      </c>
      <c r="M61" s="271">
        <v>1877446</v>
      </c>
      <c r="N61" s="69"/>
      <c r="O61" s="69">
        <v>-458018</v>
      </c>
      <c r="P61" s="69">
        <v>-75545</v>
      </c>
      <c r="Q61" s="69">
        <v>-533563</v>
      </c>
    </row>
    <row r="62" spans="1:17" ht="12" customHeight="1">
      <c r="A62" s="51">
        <v>2310</v>
      </c>
      <c r="B62" s="55" t="s">
        <v>51</v>
      </c>
      <c r="C62" s="272">
        <v>16286727</v>
      </c>
      <c r="D62" s="272">
        <v>174546</v>
      </c>
      <c r="E62" s="272">
        <v>145588</v>
      </c>
      <c r="F62" s="272">
        <v>3047655</v>
      </c>
      <c r="G62" s="272">
        <v>1131092</v>
      </c>
      <c r="H62" s="272">
        <v>4498881</v>
      </c>
      <c r="I62" s="272"/>
      <c r="J62" s="272">
        <v>1701220</v>
      </c>
      <c r="K62" s="272">
        <v>10328015</v>
      </c>
      <c r="L62" s="272">
        <v>3214848</v>
      </c>
      <c r="M62" s="272">
        <v>15244083</v>
      </c>
      <c r="N62" s="273"/>
      <c r="O62" s="273">
        <v>-3315271</v>
      </c>
      <c r="P62" s="273">
        <v>-980760</v>
      </c>
      <c r="Q62" s="273">
        <v>-4296031</v>
      </c>
    </row>
    <row r="63" spans="1:17" ht="12" customHeight="1">
      <c r="A63" s="53">
        <v>2330</v>
      </c>
      <c r="B63" s="54" t="s">
        <v>52</v>
      </c>
      <c r="C63" s="271">
        <v>5147709</v>
      </c>
      <c r="D63" s="271">
        <v>55168</v>
      </c>
      <c r="E63" s="271">
        <v>46016</v>
      </c>
      <c r="F63" s="271">
        <v>963265</v>
      </c>
      <c r="G63" s="271">
        <v>571252</v>
      </c>
      <c r="H63" s="271">
        <v>1635701</v>
      </c>
      <c r="I63" s="271"/>
      <c r="J63" s="271">
        <v>537701</v>
      </c>
      <c r="K63" s="271">
        <v>3264353</v>
      </c>
      <c r="L63" s="148">
        <v>1685674</v>
      </c>
      <c r="M63" s="271">
        <v>5487728</v>
      </c>
      <c r="N63" s="69"/>
      <c r="O63" s="69">
        <v>-1047850</v>
      </c>
      <c r="P63" s="69">
        <v>-886703</v>
      </c>
      <c r="Q63" s="69">
        <v>-1934553</v>
      </c>
    </row>
    <row r="64" spans="1:17" ht="12" customHeight="1">
      <c r="A64" s="51">
        <v>2380</v>
      </c>
      <c r="B64" s="55" t="s">
        <v>53</v>
      </c>
      <c r="C64" s="272">
        <v>1016515</v>
      </c>
      <c r="D64" s="272">
        <v>10894</v>
      </c>
      <c r="E64" s="272">
        <v>9087</v>
      </c>
      <c r="F64" s="272">
        <v>190215</v>
      </c>
      <c r="G64" s="147">
        <v>434383</v>
      </c>
      <c r="H64" s="272">
        <v>644579</v>
      </c>
      <c r="I64" s="272"/>
      <c r="J64" s="272">
        <v>106179</v>
      </c>
      <c r="K64" s="272">
        <v>644610</v>
      </c>
      <c r="L64" s="272">
        <v>0</v>
      </c>
      <c r="M64" s="272">
        <v>750789</v>
      </c>
      <c r="N64" s="273"/>
      <c r="O64" s="273">
        <v>-206918</v>
      </c>
      <c r="P64" s="273">
        <v>236622</v>
      </c>
      <c r="Q64" s="273">
        <v>29704</v>
      </c>
    </row>
    <row r="65" spans="1:17" ht="12" customHeight="1">
      <c r="A65" s="53">
        <v>2400</v>
      </c>
      <c r="B65" s="54" t="s">
        <v>54</v>
      </c>
      <c r="C65" s="271">
        <v>28624437</v>
      </c>
      <c r="D65" s="271">
        <v>306769</v>
      </c>
      <c r="E65" s="271">
        <v>255875</v>
      </c>
      <c r="F65" s="271">
        <v>5356349</v>
      </c>
      <c r="G65" s="271">
        <v>2696012</v>
      </c>
      <c r="H65" s="271">
        <v>8615005</v>
      </c>
      <c r="I65" s="271"/>
      <c r="J65" s="271">
        <v>2989948</v>
      </c>
      <c r="K65" s="271">
        <v>18151814</v>
      </c>
      <c r="L65" s="148">
        <v>3467817</v>
      </c>
      <c r="M65" s="271">
        <v>24609579</v>
      </c>
      <c r="N65" s="69"/>
      <c r="O65" s="69">
        <v>-5826694</v>
      </c>
      <c r="P65" s="69">
        <v>-237753</v>
      </c>
      <c r="Q65" s="69">
        <v>-6064447</v>
      </c>
    </row>
    <row r="66" spans="1:17" ht="12" customHeight="1">
      <c r="A66" s="51">
        <v>2410</v>
      </c>
      <c r="B66" s="55" t="s">
        <v>55</v>
      </c>
      <c r="C66" s="272">
        <v>2848559</v>
      </c>
      <c r="D66" s="272">
        <v>30528</v>
      </c>
      <c r="E66" s="272">
        <v>25463</v>
      </c>
      <c r="F66" s="272">
        <v>533037</v>
      </c>
      <c r="G66" s="147">
        <v>172389</v>
      </c>
      <c r="H66" s="272">
        <v>761417</v>
      </c>
      <c r="I66" s="272"/>
      <c r="J66" s="272">
        <v>297544</v>
      </c>
      <c r="K66" s="272">
        <v>1806376</v>
      </c>
      <c r="L66" s="272">
        <v>938713</v>
      </c>
      <c r="M66" s="272">
        <v>3042633</v>
      </c>
      <c r="N66" s="273"/>
      <c r="O66" s="273">
        <v>-579843</v>
      </c>
      <c r="P66" s="273">
        <v>-322063</v>
      </c>
      <c r="Q66" s="273">
        <v>-901906</v>
      </c>
    </row>
    <row r="67" spans="1:17" ht="12" customHeight="1">
      <c r="A67" s="53">
        <v>2500</v>
      </c>
      <c r="B67" s="54" t="s">
        <v>56</v>
      </c>
      <c r="C67" s="271">
        <v>523035</v>
      </c>
      <c r="D67" s="271">
        <v>5605</v>
      </c>
      <c r="E67" s="271">
        <v>4675</v>
      </c>
      <c r="F67" s="271">
        <v>97873</v>
      </c>
      <c r="G67" s="271">
        <v>138469</v>
      </c>
      <c r="H67" s="271">
        <v>246622</v>
      </c>
      <c r="I67" s="271"/>
      <c r="J67" s="271">
        <v>54633</v>
      </c>
      <c r="K67" s="271">
        <v>331676</v>
      </c>
      <c r="L67" s="148">
        <v>138630</v>
      </c>
      <c r="M67" s="271">
        <v>524939</v>
      </c>
      <c r="N67" s="69"/>
      <c r="O67" s="69">
        <v>-106467</v>
      </c>
      <c r="P67" s="69">
        <v>-25661</v>
      </c>
      <c r="Q67" s="69">
        <v>-132128</v>
      </c>
    </row>
    <row r="68" spans="1:17" ht="12" customHeight="1">
      <c r="A68" s="51">
        <v>2550</v>
      </c>
      <c r="B68" s="55" t="s">
        <v>57</v>
      </c>
      <c r="C68" s="272">
        <v>1944743</v>
      </c>
      <c r="D68" s="272">
        <v>20842</v>
      </c>
      <c r="E68" s="272">
        <v>17384</v>
      </c>
      <c r="F68" s="272">
        <v>363910</v>
      </c>
      <c r="G68" s="272">
        <v>0</v>
      </c>
      <c r="H68" s="272">
        <v>402136</v>
      </c>
      <c r="I68" s="272"/>
      <c r="J68" s="272">
        <v>203137</v>
      </c>
      <c r="K68" s="272">
        <v>1233233</v>
      </c>
      <c r="L68" s="272">
        <v>313513</v>
      </c>
      <c r="M68" s="272">
        <v>1749883</v>
      </c>
      <c r="N68" s="273"/>
      <c r="O68" s="273">
        <v>-395865</v>
      </c>
      <c r="P68" s="273">
        <v>-165248</v>
      </c>
      <c r="Q68" s="273">
        <v>-561113</v>
      </c>
    </row>
    <row r="69" spans="1:17" ht="12" customHeight="1">
      <c r="A69" s="53">
        <v>2570</v>
      </c>
      <c r="B69" s="54" t="s">
        <v>58</v>
      </c>
      <c r="C69" s="271">
        <v>1231037</v>
      </c>
      <c r="D69" s="271">
        <v>13193</v>
      </c>
      <c r="E69" s="271">
        <v>11004</v>
      </c>
      <c r="F69" s="271">
        <v>230358</v>
      </c>
      <c r="G69" s="271">
        <v>37375</v>
      </c>
      <c r="H69" s="271">
        <v>291930</v>
      </c>
      <c r="I69" s="271"/>
      <c r="J69" s="271">
        <v>128587</v>
      </c>
      <c r="K69" s="271">
        <v>780646</v>
      </c>
      <c r="L69" s="271">
        <v>240941</v>
      </c>
      <c r="M69" s="271">
        <v>1150174</v>
      </c>
      <c r="N69" s="69"/>
      <c r="O69" s="69">
        <v>-250586</v>
      </c>
      <c r="P69" s="69">
        <v>-108537</v>
      </c>
      <c r="Q69" s="69">
        <v>-359123</v>
      </c>
    </row>
    <row r="70" spans="1:17" ht="12" customHeight="1">
      <c r="A70" s="51">
        <v>2620</v>
      </c>
      <c r="B70" s="55" t="s">
        <v>59</v>
      </c>
      <c r="C70" s="272">
        <v>12845387</v>
      </c>
      <c r="D70" s="272">
        <v>137665</v>
      </c>
      <c r="E70" s="272">
        <v>114825</v>
      </c>
      <c r="F70" s="272">
        <v>2403694</v>
      </c>
      <c r="G70" s="272">
        <v>1979030</v>
      </c>
      <c r="H70" s="272">
        <v>4635214</v>
      </c>
      <c r="I70" s="272"/>
      <c r="J70" s="272">
        <v>1341757</v>
      </c>
      <c r="K70" s="272">
        <v>8145734</v>
      </c>
      <c r="L70" s="147">
        <v>1643729</v>
      </c>
      <c r="M70" s="272">
        <v>11131220</v>
      </c>
      <c r="N70" s="273"/>
      <c r="O70" s="273">
        <v>-2614764</v>
      </c>
      <c r="P70" s="273">
        <v>-56458</v>
      </c>
      <c r="Q70" s="273">
        <v>-2671222</v>
      </c>
    </row>
    <row r="71" spans="1:17" ht="12" customHeight="1">
      <c r="A71" s="53">
        <v>2630</v>
      </c>
      <c r="B71" s="54" t="s">
        <v>60</v>
      </c>
      <c r="C71" s="271">
        <v>9217397</v>
      </c>
      <c r="D71" s="271">
        <v>98783</v>
      </c>
      <c r="E71" s="271">
        <v>82395</v>
      </c>
      <c r="F71" s="271">
        <v>1724806</v>
      </c>
      <c r="G71" s="271">
        <v>1062831</v>
      </c>
      <c r="H71" s="271">
        <v>2968815</v>
      </c>
      <c r="I71" s="271"/>
      <c r="J71" s="271">
        <v>962798</v>
      </c>
      <c r="K71" s="271">
        <v>5845092</v>
      </c>
      <c r="L71" s="271">
        <v>2566462</v>
      </c>
      <c r="M71" s="271">
        <v>9374352</v>
      </c>
      <c r="N71" s="69"/>
      <c r="O71" s="69">
        <v>-1876262</v>
      </c>
      <c r="P71" s="69">
        <v>-351977</v>
      </c>
      <c r="Q71" s="69">
        <v>-2228239</v>
      </c>
    </row>
    <row r="72" spans="1:17" ht="12" customHeight="1">
      <c r="A72" s="51">
        <v>2690</v>
      </c>
      <c r="B72" s="55" t="s">
        <v>61</v>
      </c>
      <c r="C72" s="272">
        <v>24029626</v>
      </c>
      <c r="D72" s="272">
        <v>257526</v>
      </c>
      <c r="E72" s="272">
        <v>214802</v>
      </c>
      <c r="F72" s="272">
        <v>4496545</v>
      </c>
      <c r="G72" s="272">
        <v>1247805</v>
      </c>
      <c r="H72" s="272">
        <v>6216678</v>
      </c>
      <c r="I72" s="272"/>
      <c r="J72" s="272">
        <v>2510000</v>
      </c>
      <c r="K72" s="272">
        <v>15238074</v>
      </c>
      <c r="L72" s="272">
        <v>4410379</v>
      </c>
      <c r="M72" s="272">
        <v>22158453</v>
      </c>
      <c r="N72" s="273"/>
      <c r="O72" s="273">
        <v>-4891390</v>
      </c>
      <c r="P72" s="273">
        <v>-2284538</v>
      </c>
      <c r="Q72" s="273">
        <v>-7175928</v>
      </c>
    </row>
    <row r="73" spans="1:17" ht="12" customHeight="1">
      <c r="A73" s="53">
        <v>2710</v>
      </c>
      <c r="B73" s="54" t="s">
        <v>62</v>
      </c>
      <c r="C73" s="271">
        <v>227681</v>
      </c>
      <c r="D73" s="271">
        <v>2440</v>
      </c>
      <c r="E73" s="271">
        <v>2035</v>
      </c>
      <c r="F73" s="271">
        <v>42605</v>
      </c>
      <c r="G73" s="271">
        <v>0</v>
      </c>
      <c r="H73" s="271">
        <v>47080</v>
      </c>
      <c r="I73" s="271"/>
      <c r="J73" s="271">
        <v>23782</v>
      </c>
      <c r="K73" s="271">
        <v>144381</v>
      </c>
      <c r="L73" s="271">
        <v>385013</v>
      </c>
      <c r="M73" s="271">
        <v>553176</v>
      </c>
      <c r="N73" s="69"/>
      <c r="O73" s="69">
        <v>-46346</v>
      </c>
      <c r="P73" s="69">
        <v>-164517</v>
      </c>
      <c r="Q73" s="69">
        <v>-210863</v>
      </c>
    </row>
    <row r="74" spans="1:17" ht="12" customHeight="1">
      <c r="A74" s="51">
        <v>2730</v>
      </c>
      <c r="B74" s="55" t="s">
        <v>63</v>
      </c>
      <c r="C74" s="272">
        <v>1967431</v>
      </c>
      <c r="D74" s="272">
        <v>21085</v>
      </c>
      <c r="E74" s="272">
        <v>17587</v>
      </c>
      <c r="F74" s="272">
        <v>368156</v>
      </c>
      <c r="G74" s="272">
        <v>305249</v>
      </c>
      <c r="H74" s="272">
        <v>712077</v>
      </c>
      <c r="I74" s="272"/>
      <c r="J74" s="272">
        <v>205507</v>
      </c>
      <c r="K74" s="272">
        <v>1247621</v>
      </c>
      <c r="L74" s="147">
        <v>58336</v>
      </c>
      <c r="M74" s="272">
        <v>1511464</v>
      </c>
      <c r="N74" s="273"/>
      <c r="O74" s="273">
        <v>-400484</v>
      </c>
      <c r="P74" s="273">
        <v>-14557</v>
      </c>
      <c r="Q74" s="273">
        <v>-415041</v>
      </c>
    </row>
    <row r="75" spans="1:17" ht="12" customHeight="1">
      <c r="A75" s="53">
        <v>2950</v>
      </c>
      <c r="B75" s="54" t="s">
        <v>64</v>
      </c>
      <c r="C75" s="271">
        <v>1443107</v>
      </c>
      <c r="D75" s="271">
        <v>15466</v>
      </c>
      <c r="E75" s="271">
        <v>12900</v>
      </c>
      <c r="F75" s="271">
        <v>270041</v>
      </c>
      <c r="G75" s="271">
        <v>299087</v>
      </c>
      <c r="H75" s="271">
        <v>597494</v>
      </c>
      <c r="I75" s="271"/>
      <c r="J75" s="271">
        <v>150739</v>
      </c>
      <c r="K75" s="271">
        <v>915127</v>
      </c>
      <c r="L75" s="271">
        <v>407957</v>
      </c>
      <c r="M75" s="271">
        <v>1473823</v>
      </c>
      <c r="N75" s="69"/>
      <c r="O75" s="69">
        <v>-293754</v>
      </c>
      <c r="P75" s="69">
        <v>-74828</v>
      </c>
      <c r="Q75" s="69">
        <v>-368582</v>
      </c>
    </row>
    <row r="76" spans="1:17" ht="12" customHeight="1">
      <c r="A76" s="51">
        <v>2760</v>
      </c>
      <c r="B76" s="55" t="s">
        <v>65</v>
      </c>
      <c r="C76" s="272">
        <v>1212413</v>
      </c>
      <c r="D76" s="272">
        <v>12993</v>
      </c>
      <c r="E76" s="272">
        <v>10838</v>
      </c>
      <c r="F76" s="272">
        <v>226873</v>
      </c>
      <c r="G76" s="272">
        <v>98421</v>
      </c>
      <c r="H76" s="272">
        <v>349125</v>
      </c>
      <c r="I76" s="272"/>
      <c r="J76" s="272">
        <v>126642</v>
      </c>
      <c r="K76" s="272">
        <v>768836</v>
      </c>
      <c r="L76" s="147">
        <v>313140</v>
      </c>
      <c r="M76" s="272">
        <v>1208618</v>
      </c>
      <c r="N76" s="273"/>
      <c r="O76" s="273">
        <v>-246795</v>
      </c>
      <c r="P76" s="273">
        <v>-64793</v>
      </c>
      <c r="Q76" s="273">
        <v>-311588</v>
      </c>
    </row>
    <row r="77" spans="1:17" ht="12" customHeight="1">
      <c r="A77" s="53">
        <v>2780</v>
      </c>
      <c r="B77" s="54" t="s">
        <v>66</v>
      </c>
      <c r="C77" s="271">
        <v>105355</v>
      </c>
      <c r="D77" s="271">
        <v>1129</v>
      </c>
      <c r="E77" s="271">
        <v>942</v>
      </c>
      <c r="F77" s="271">
        <v>19715</v>
      </c>
      <c r="G77" s="148">
        <v>11474</v>
      </c>
      <c r="H77" s="271">
        <v>33260</v>
      </c>
      <c r="I77" s="271"/>
      <c r="J77" s="271">
        <v>11005</v>
      </c>
      <c r="K77" s="271">
        <v>66810</v>
      </c>
      <c r="L77" s="271">
        <v>44473</v>
      </c>
      <c r="M77" s="271">
        <v>122288</v>
      </c>
      <c r="N77" s="69"/>
      <c r="O77" s="69">
        <v>-21446</v>
      </c>
      <c r="P77" s="69">
        <v>-13050</v>
      </c>
      <c r="Q77" s="69">
        <v>-34496</v>
      </c>
    </row>
    <row r="78" spans="1:17" ht="12" customHeight="1">
      <c r="A78" s="51">
        <v>2810</v>
      </c>
      <c r="B78" s="55" t="s">
        <v>67</v>
      </c>
      <c r="C78" s="272">
        <v>939495</v>
      </c>
      <c r="D78" s="272">
        <v>10069</v>
      </c>
      <c r="E78" s="272">
        <v>8398</v>
      </c>
      <c r="F78" s="272">
        <v>175803</v>
      </c>
      <c r="G78" s="272">
        <v>22195</v>
      </c>
      <c r="H78" s="272">
        <v>216465</v>
      </c>
      <c r="I78" s="272"/>
      <c r="J78" s="272">
        <v>98134</v>
      </c>
      <c r="K78" s="272">
        <v>595769</v>
      </c>
      <c r="L78" s="147">
        <v>427365</v>
      </c>
      <c r="M78" s="272">
        <v>1121268</v>
      </c>
      <c r="N78" s="273"/>
      <c r="O78" s="273">
        <v>-191240</v>
      </c>
      <c r="P78" s="273">
        <v>-290507</v>
      </c>
      <c r="Q78" s="273">
        <v>-481747</v>
      </c>
    </row>
    <row r="79" spans="1:17" ht="12" customHeight="1">
      <c r="A79" s="53">
        <v>18056</v>
      </c>
      <c r="B79" s="54" t="s">
        <v>68</v>
      </c>
      <c r="C79" s="271">
        <v>1202743</v>
      </c>
      <c r="D79" s="271">
        <v>12890</v>
      </c>
      <c r="E79" s="271">
        <v>10751</v>
      </c>
      <c r="F79" s="271">
        <v>225063</v>
      </c>
      <c r="G79" s="148">
        <v>149802</v>
      </c>
      <c r="H79" s="271">
        <v>398506</v>
      </c>
      <c r="I79" s="271"/>
      <c r="J79" s="271">
        <v>125632</v>
      </c>
      <c r="K79" s="271">
        <v>762704</v>
      </c>
      <c r="L79" s="271">
        <v>229723</v>
      </c>
      <c r="M79" s="271">
        <v>1118059</v>
      </c>
      <c r="N79" s="69"/>
      <c r="O79" s="69">
        <v>-244826</v>
      </c>
      <c r="P79" s="69">
        <v>-40683</v>
      </c>
      <c r="Q79" s="69">
        <v>-285509</v>
      </c>
    </row>
    <row r="80" spans="1:17" ht="12" customHeight="1">
      <c r="A80" s="51">
        <v>15047</v>
      </c>
      <c r="B80" s="55" t="s">
        <v>69</v>
      </c>
      <c r="C80" s="272">
        <v>1089218</v>
      </c>
      <c r="D80" s="272">
        <v>11673</v>
      </c>
      <c r="E80" s="272">
        <v>9737</v>
      </c>
      <c r="F80" s="272">
        <v>203820</v>
      </c>
      <c r="G80" s="272">
        <v>314204</v>
      </c>
      <c r="H80" s="272">
        <v>539434</v>
      </c>
      <c r="I80" s="272"/>
      <c r="J80" s="272">
        <v>113774</v>
      </c>
      <c r="K80" s="272">
        <v>690713</v>
      </c>
      <c r="L80" s="147">
        <v>226772</v>
      </c>
      <c r="M80" s="272">
        <v>1031259</v>
      </c>
      <c r="N80" s="273"/>
      <c r="O80" s="273">
        <v>-221718</v>
      </c>
      <c r="P80" s="273">
        <v>91971</v>
      </c>
      <c r="Q80" s="273">
        <v>-129747</v>
      </c>
    </row>
    <row r="81" spans="1:17" ht="12" customHeight="1">
      <c r="A81" s="53">
        <v>5012</v>
      </c>
      <c r="B81" s="54" t="s">
        <v>70</v>
      </c>
      <c r="C81" s="271">
        <v>18863881</v>
      </c>
      <c r="D81" s="271">
        <v>202165</v>
      </c>
      <c r="E81" s="271">
        <v>168625</v>
      </c>
      <c r="F81" s="271">
        <v>3529905</v>
      </c>
      <c r="G81" s="271">
        <v>2410867</v>
      </c>
      <c r="H81" s="271">
        <v>6311562</v>
      </c>
      <c r="I81" s="271"/>
      <c r="J81" s="271">
        <v>1970415</v>
      </c>
      <c r="K81" s="271">
        <v>11962284</v>
      </c>
      <c r="L81" s="271">
        <v>559616</v>
      </c>
      <c r="M81" s="271">
        <v>14492315</v>
      </c>
      <c r="N81" s="69"/>
      <c r="O81" s="69">
        <v>-3839868</v>
      </c>
      <c r="P81" s="69">
        <v>549890</v>
      </c>
      <c r="Q81" s="69">
        <v>-3289978</v>
      </c>
    </row>
    <row r="82" spans="1:17" ht="12" customHeight="1">
      <c r="A82" s="51">
        <v>8024</v>
      </c>
      <c r="B82" s="55" t="s">
        <v>71</v>
      </c>
      <c r="C82" s="272">
        <v>3556841</v>
      </c>
      <c r="D82" s="272">
        <v>38119</v>
      </c>
      <c r="E82" s="272">
        <v>31795</v>
      </c>
      <c r="F82" s="272">
        <v>665574</v>
      </c>
      <c r="G82" s="272">
        <v>215722</v>
      </c>
      <c r="H82" s="272">
        <v>951210</v>
      </c>
      <c r="I82" s="272"/>
      <c r="J82" s="272">
        <v>371528</v>
      </c>
      <c r="K82" s="272">
        <v>2255525</v>
      </c>
      <c r="L82" s="272">
        <v>830246</v>
      </c>
      <c r="M82" s="272">
        <v>3457299</v>
      </c>
      <c r="N82" s="273"/>
      <c r="O82" s="273">
        <v>-724019</v>
      </c>
      <c r="P82" s="273">
        <v>-59687</v>
      </c>
      <c r="Q82" s="273">
        <v>-783706</v>
      </c>
    </row>
    <row r="83" spans="1:17" ht="12" customHeight="1">
      <c r="A83" s="53">
        <v>3050</v>
      </c>
      <c r="B83" s="54" t="s">
        <v>72</v>
      </c>
      <c r="C83" s="271">
        <v>1323808</v>
      </c>
      <c r="D83" s="271">
        <v>14187</v>
      </c>
      <c r="E83" s="271">
        <v>11834</v>
      </c>
      <c r="F83" s="271">
        <v>247718</v>
      </c>
      <c r="G83" s="271">
        <v>201568</v>
      </c>
      <c r="H83" s="271">
        <v>475307</v>
      </c>
      <c r="I83" s="271"/>
      <c r="J83" s="271">
        <v>138278</v>
      </c>
      <c r="K83" s="271">
        <v>839476</v>
      </c>
      <c r="L83" s="271">
        <v>116345</v>
      </c>
      <c r="M83" s="271">
        <v>1094099</v>
      </c>
      <c r="N83" s="69"/>
      <c r="O83" s="69">
        <v>-269470</v>
      </c>
      <c r="P83" s="69">
        <v>47259</v>
      </c>
      <c r="Q83" s="69">
        <v>-222211</v>
      </c>
    </row>
    <row r="84" spans="1:17" ht="12" customHeight="1">
      <c r="A84" s="51">
        <v>2421</v>
      </c>
      <c r="B84" s="55" t="s">
        <v>73</v>
      </c>
      <c r="C84" s="272">
        <v>435351</v>
      </c>
      <c r="D84" s="272">
        <v>4666</v>
      </c>
      <c r="E84" s="272">
        <v>3892</v>
      </c>
      <c r="F84" s="272">
        <v>81465</v>
      </c>
      <c r="G84" s="272">
        <v>113162</v>
      </c>
      <c r="H84" s="272">
        <v>203185</v>
      </c>
      <c r="I84" s="272"/>
      <c r="J84" s="272">
        <v>45474</v>
      </c>
      <c r="K84" s="272">
        <v>276072</v>
      </c>
      <c r="L84" s="272">
        <v>163160</v>
      </c>
      <c r="M84" s="272">
        <v>484706</v>
      </c>
      <c r="N84" s="273"/>
      <c r="O84" s="273">
        <v>-88619</v>
      </c>
      <c r="P84" s="273">
        <v>-3864</v>
      </c>
      <c r="Q84" s="273">
        <v>-92483</v>
      </c>
    </row>
    <row r="85" spans="1:17" ht="12" customHeight="1">
      <c r="A85" s="53">
        <v>26079</v>
      </c>
      <c r="B85" s="54" t="s">
        <v>74</v>
      </c>
      <c r="C85" s="271">
        <v>462622</v>
      </c>
      <c r="D85" s="271">
        <v>4958</v>
      </c>
      <c r="E85" s="271">
        <v>4135</v>
      </c>
      <c r="F85" s="271">
        <v>86568</v>
      </c>
      <c r="G85" s="271">
        <v>101299</v>
      </c>
      <c r="H85" s="271">
        <v>196960</v>
      </c>
      <c r="I85" s="271"/>
      <c r="J85" s="271">
        <v>48323</v>
      </c>
      <c r="K85" s="271">
        <v>293365</v>
      </c>
      <c r="L85" s="148">
        <v>12467</v>
      </c>
      <c r="M85" s="271">
        <v>354155</v>
      </c>
      <c r="N85" s="69"/>
      <c r="O85" s="69">
        <v>-94170</v>
      </c>
      <c r="P85" s="69">
        <v>2317</v>
      </c>
      <c r="Q85" s="69">
        <v>-91853</v>
      </c>
    </row>
    <row r="86" spans="1:17" ht="12" customHeight="1">
      <c r="A86" s="51">
        <v>2363</v>
      </c>
      <c r="B86" s="55" t="s">
        <v>75</v>
      </c>
      <c r="C86" s="272">
        <v>525824</v>
      </c>
      <c r="D86" s="272">
        <v>5635</v>
      </c>
      <c r="E86" s="272">
        <v>4700</v>
      </c>
      <c r="F86" s="272">
        <v>98395</v>
      </c>
      <c r="G86" s="272">
        <v>34046</v>
      </c>
      <c r="H86" s="272">
        <v>142776</v>
      </c>
      <c r="I86" s="272"/>
      <c r="J86" s="272">
        <v>54925</v>
      </c>
      <c r="K86" s="272">
        <v>333444</v>
      </c>
      <c r="L86" s="147">
        <v>26621</v>
      </c>
      <c r="M86" s="272">
        <v>414990</v>
      </c>
      <c r="N86" s="273"/>
      <c r="O86" s="273">
        <v>-107035</v>
      </c>
      <c r="P86" s="273">
        <v>5198</v>
      </c>
      <c r="Q86" s="273">
        <v>-101837</v>
      </c>
    </row>
    <row r="87" spans="1:17" ht="12" customHeight="1">
      <c r="A87" s="53">
        <v>2364</v>
      </c>
      <c r="B87" s="54" t="s">
        <v>76</v>
      </c>
      <c r="C87" s="271">
        <v>1712745</v>
      </c>
      <c r="D87" s="271">
        <v>18356</v>
      </c>
      <c r="E87" s="271">
        <v>15310</v>
      </c>
      <c r="F87" s="271">
        <v>320498</v>
      </c>
      <c r="G87" s="271">
        <v>572784</v>
      </c>
      <c r="H87" s="271">
        <v>926948</v>
      </c>
      <c r="I87" s="271"/>
      <c r="J87" s="271">
        <v>178904</v>
      </c>
      <c r="K87" s="271">
        <v>1086115</v>
      </c>
      <c r="L87" s="271">
        <v>0</v>
      </c>
      <c r="M87" s="271">
        <v>1265019</v>
      </c>
      <c r="N87" s="69"/>
      <c r="O87" s="69">
        <v>-348641</v>
      </c>
      <c r="P87" s="69">
        <v>200942</v>
      </c>
      <c r="Q87" s="69">
        <v>-147699</v>
      </c>
    </row>
    <row r="88" spans="1:17" ht="12" customHeight="1">
      <c r="A88" s="51">
        <v>25319</v>
      </c>
      <c r="B88" s="55" t="s">
        <v>77</v>
      </c>
      <c r="C88" s="272">
        <v>343603</v>
      </c>
      <c r="D88" s="272">
        <v>3682</v>
      </c>
      <c r="E88" s="272">
        <v>3071</v>
      </c>
      <c r="F88" s="272">
        <v>64297</v>
      </c>
      <c r="G88" s="272">
        <v>41867</v>
      </c>
      <c r="H88" s="272">
        <v>112917</v>
      </c>
      <c r="I88" s="272"/>
      <c r="J88" s="272">
        <v>35891</v>
      </c>
      <c r="K88" s="272">
        <v>217891</v>
      </c>
      <c r="L88" s="272">
        <v>104957</v>
      </c>
      <c r="M88" s="272">
        <v>358739</v>
      </c>
      <c r="N88" s="273"/>
      <c r="O88" s="273">
        <v>-69943</v>
      </c>
      <c r="P88" s="273">
        <v>-1242</v>
      </c>
      <c r="Q88" s="273">
        <v>-71185</v>
      </c>
    </row>
    <row r="89" spans="1:17" ht="12" customHeight="1">
      <c r="A89" s="53">
        <v>29087</v>
      </c>
      <c r="B89" s="54" t="s">
        <v>78</v>
      </c>
      <c r="C89" s="271">
        <v>3434025</v>
      </c>
      <c r="D89" s="271">
        <v>36803</v>
      </c>
      <c r="E89" s="271">
        <v>30697</v>
      </c>
      <c r="F89" s="271">
        <v>642592</v>
      </c>
      <c r="G89" s="271">
        <v>1593357</v>
      </c>
      <c r="H89" s="271">
        <v>2303449</v>
      </c>
      <c r="I89" s="271"/>
      <c r="J89" s="271">
        <v>358699</v>
      </c>
      <c r="K89" s="271">
        <v>2177642</v>
      </c>
      <c r="L89" s="271">
        <v>79056</v>
      </c>
      <c r="M89" s="271">
        <v>2615397</v>
      </c>
      <c r="N89" s="69"/>
      <c r="O89" s="69">
        <v>-699019</v>
      </c>
      <c r="P89" s="69">
        <v>572281</v>
      </c>
      <c r="Q89" s="69">
        <v>-126738</v>
      </c>
    </row>
    <row r="90" spans="1:17" ht="12" customHeight="1">
      <c r="A90" s="51">
        <v>3060</v>
      </c>
      <c r="B90" s="55" t="s">
        <v>79</v>
      </c>
      <c r="C90" s="272">
        <v>1995192</v>
      </c>
      <c r="D90" s="272">
        <v>21383</v>
      </c>
      <c r="E90" s="272">
        <v>17835</v>
      </c>
      <c r="F90" s="272">
        <v>373350</v>
      </c>
      <c r="G90" s="272">
        <v>7323</v>
      </c>
      <c r="H90" s="272">
        <v>419891</v>
      </c>
      <c r="I90" s="272"/>
      <c r="J90" s="272">
        <v>208407</v>
      </c>
      <c r="K90" s="272">
        <v>1265225</v>
      </c>
      <c r="L90" s="272">
        <v>358593</v>
      </c>
      <c r="M90" s="272">
        <v>1832225</v>
      </c>
      <c r="N90" s="273"/>
      <c r="O90" s="273">
        <v>-406135</v>
      </c>
      <c r="P90" s="273">
        <v>-202243</v>
      </c>
      <c r="Q90" s="273">
        <v>-608378</v>
      </c>
    </row>
    <row r="91" spans="1:17" ht="12" customHeight="1">
      <c r="A91" s="53">
        <v>19301</v>
      </c>
      <c r="B91" s="54" t="s">
        <v>80</v>
      </c>
      <c r="C91" s="271">
        <v>392707</v>
      </c>
      <c r="D91" s="271">
        <v>4209</v>
      </c>
      <c r="E91" s="271">
        <v>3510</v>
      </c>
      <c r="F91" s="271">
        <v>73485</v>
      </c>
      <c r="G91" s="271">
        <v>95560</v>
      </c>
      <c r="H91" s="271">
        <v>176764</v>
      </c>
      <c r="I91" s="271"/>
      <c r="J91" s="271">
        <v>41020</v>
      </c>
      <c r="K91" s="271">
        <v>249030</v>
      </c>
      <c r="L91" s="148">
        <v>29370</v>
      </c>
      <c r="M91" s="271">
        <v>319420</v>
      </c>
      <c r="N91" s="69"/>
      <c r="O91" s="69">
        <v>-79938</v>
      </c>
      <c r="P91" s="69">
        <v>-3446</v>
      </c>
      <c r="Q91" s="69">
        <v>-83384</v>
      </c>
    </row>
    <row r="92" spans="1:17" ht="12" customHeight="1">
      <c r="A92" s="51">
        <v>19059</v>
      </c>
      <c r="B92" s="55" t="s">
        <v>81</v>
      </c>
      <c r="C92" s="272">
        <v>12557965</v>
      </c>
      <c r="D92" s="272">
        <v>134584</v>
      </c>
      <c r="E92" s="272">
        <v>112256</v>
      </c>
      <c r="F92" s="272">
        <v>2349910</v>
      </c>
      <c r="G92" s="272">
        <v>1675569</v>
      </c>
      <c r="H92" s="272">
        <v>4272319</v>
      </c>
      <c r="I92" s="272"/>
      <c r="J92" s="272">
        <v>1311734</v>
      </c>
      <c r="K92" s="272">
        <v>7963470</v>
      </c>
      <c r="L92" s="147">
        <v>1656380</v>
      </c>
      <c r="M92" s="272">
        <v>10931584</v>
      </c>
      <c r="N92" s="273"/>
      <c r="O92" s="273">
        <v>-2556257</v>
      </c>
      <c r="P92" s="273">
        <v>560202</v>
      </c>
      <c r="Q92" s="273">
        <v>-1996055</v>
      </c>
    </row>
    <row r="93" spans="1:17" ht="12" customHeight="1">
      <c r="A93" s="53">
        <v>18057</v>
      </c>
      <c r="B93" s="54" t="s">
        <v>82</v>
      </c>
      <c r="C93" s="271">
        <v>532242</v>
      </c>
      <c r="D93" s="271">
        <v>5704</v>
      </c>
      <c r="E93" s="271">
        <v>4758</v>
      </c>
      <c r="F93" s="271">
        <v>99596</v>
      </c>
      <c r="G93" s="271">
        <v>109032</v>
      </c>
      <c r="H93" s="271">
        <v>219090</v>
      </c>
      <c r="I93" s="271"/>
      <c r="J93" s="271">
        <v>55595</v>
      </c>
      <c r="K93" s="271">
        <v>337514</v>
      </c>
      <c r="L93" s="271">
        <v>6734</v>
      </c>
      <c r="M93" s="271">
        <v>399843</v>
      </c>
      <c r="N93" s="69"/>
      <c r="O93" s="69">
        <v>-108341</v>
      </c>
      <c r="P93" s="69">
        <v>19575</v>
      </c>
      <c r="Q93" s="69">
        <v>-88766</v>
      </c>
    </row>
    <row r="94" spans="1:17" ht="12" customHeight="1">
      <c r="A94" s="51">
        <v>4008</v>
      </c>
      <c r="B94" s="55" t="s">
        <v>83</v>
      </c>
      <c r="C94" s="272">
        <v>2099595</v>
      </c>
      <c r="D94" s="272">
        <v>22501</v>
      </c>
      <c r="E94" s="272">
        <v>18768</v>
      </c>
      <c r="F94" s="272">
        <v>392887</v>
      </c>
      <c r="G94" s="272">
        <v>415526</v>
      </c>
      <c r="H94" s="272">
        <v>849682</v>
      </c>
      <c r="I94" s="272"/>
      <c r="J94" s="272">
        <v>219312</v>
      </c>
      <c r="K94" s="272">
        <v>1331431</v>
      </c>
      <c r="L94" s="272">
        <v>377750</v>
      </c>
      <c r="M94" s="272">
        <v>1928493</v>
      </c>
      <c r="N94" s="273"/>
      <c r="O94" s="273">
        <v>-427386</v>
      </c>
      <c r="P94" s="273">
        <v>-42765</v>
      </c>
      <c r="Q94" s="273">
        <v>-470151</v>
      </c>
    </row>
    <row r="95" spans="1:17" ht="12" customHeight="1">
      <c r="A95" s="53">
        <v>2350</v>
      </c>
      <c r="B95" s="54" t="s">
        <v>84</v>
      </c>
      <c r="C95" s="271">
        <v>691130</v>
      </c>
      <c r="D95" s="271">
        <v>7407</v>
      </c>
      <c r="E95" s="271">
        <v>6178</v>
      </c>
      <c r="F95" s="271">
        <v>129328</v>
      </c>
      <c r="G95" s="271">
        <v>148953</v>
      </c>
      <c r="H95" s="271">
        <v>291866</v>
      </c>
      <c r="I95" s="271"/>
      <c r="J95" s="271">
        <v>72192</v>
      </c>
      <c r="K95" s="271">
        <v>438271</v>
      </c>
      <c r="L95" s="148">
        <v>88840</v>
      </c>
      <c r="M95" s="271">
        <v>599303</v>
      </c>
      <c r="N95" s="69"/>
      <c r="O95" s="69">
        <v>-140684</v>
      </c>
      <c r="P95" s="69">
        <v>49408</v>
      </c>
      <c r="Q95" s="69">
        <v>-91276</v>
      </c>
    </row>
    <row r="96" spans="1:17" ht="12" customHeight="1">
      <c r="A96" s="51">
        <v>11117</v>
      </c>
      <c r="B96" s="55" t="s">
        <v>85</v>
      </c>
      <c r="C96" s="272">
        <v>661168</v>
      </c>
      <c r="D96" s="272">
        <v>7086</v>
      </c>
      <c r="E96" s="272">
        <v>5910</v>
      </c>
      <c r="F96" s="272">
        <v>123721</v>
      </c>
      <c r="G96" s="147">
        <v>17278</v>
      </c>
      <c r="H96" s="272">
        <v>153995</v>
      </c>
      <c r="I96" s="272"/>
      <c r="J96" s="272">
        <v>69062</v>
      </c>
      <c r="K96" s="272">
        <v>419271</v>
      </c>
      <c r="L96" s="147">
        <v>149291</v>
      </c>
      <c r="M96" s="272">
        <v>637624</v>
      </c>
      <c r="N96" s="273"/>
      <c r="O96" s="273">
        <v>-134585</v>
      </c>
      <c r="P96" s="273">
        <v>-35158</v>
      </c>
      <c r="Q96" s="273">
        <v>-169743</v>
      </c>
    </row>
    <row r="97" spans="1:17" ht="12" customHeight="1">
      <c r="A97" s="53">
        <v>16359</v>
      </c>
      <c r="B97" s="54" t="s">
        <v>86</v>
      </c>
      <c r="C97" s="271">
        <v>143655</v>
      </c>
      <c r="D97" s="271">
        <v>1540</v>
      </c>
      <c r="E97" s="271">
        <v>1284</v>
      </c>
      <c r="F97" s="271">
        <v>26881</v>
      </c>
      <c r="G97" s="271">
        <v>117055</v>
      </c>
      <c r="H97" s="271">
        <v>146760</v>
      </c>
      <c r="I97" s="271"/>
      <c r="J97" s="271">
        <v>15005</v>
      </c>
      <c r="K97" s="271">
        <v>91097</v>
      </c>
      <c r="L97" s="271">
        <v>76788</v>
      </c>
      <c r="M97" s="271">
        <v>182890</v>
      </c>
      <c r="N97" s="69"/>
      <c r="O97" s="69">
        <v>-29242</v>
      </c>
      <c r="P97" s="69">
        <v>16323</v>
      </c>
      <c r="Q97" s="69">
        <v>-12919</v>
      </c>
    </row>
    <row r="98" spans="1:17" ht="12" customHeight="1">
      <c r="A98" s="51">
        <v>17115</v>
      </c>
      <c r="B98" s="55" t="s">
        <v>87</v>
      </c>
      <c r="C98" s="272">
        <v>2554859</v>
      </c>
      <c r="D98" s="272">
        <v>27381</v>
      </c>
      <c r="E98" s="272">
        <v>22838</v>
      </c>
      <c r="F98" s="272">
        <v>478078</v>
      </c>
      <c r="G98" s="272">
        <v>544227</v>
      </c>
      <c r="H98" s="272">
        <v>1072524</v>
      </c>
      <c r="I98" s="272"/>
      <c r="J98" s="272">
        <v>266866</v>
      </c>
      <c r="K98" s="272">
        <v>1620130</v>
      </c>
      <c r="L98" s="272">
        <v>197723</v>
      </c>
      <c r="M98" s="272">
        <v>2084719</v>
      </c>
      <c r="N98" s="273"/>
      <c r="O98" s="273">
        <v>-520059</v>
      </c>
      <c r="P98" s="273">
        <v>101342</v>
      </c>
      <c r="Q98" s="273">
        <v>-418717</v>
      </c>
    </row>
    <row r="99" spans="1:17" ht="12" customHeight="1">
      <c r="A99" s="53">
        <v>13437</v>
      </c>
      <c r="B99" s="54" t="s">
        <v>88</v>
      </c>
      <c r="C99" s="271">
        <v>204531</v>
      </c>
      <c r="D99" s="271">
        <v>2192</v>
      </c>
      <c r="E99" s="271">
        <v>1828</v>
      </c>
      <c r="F99" s="271">
        <v>38273</v>
      </c>
      <c r="G99" s="271">
        <v>109255</v>
      </c>
      <c r="H99" s="271">
        <v>151548</v>
      </c>
      <c r="I99" s="271"/>
      <c r="J99" s="271">
        <v>21364</v>
      </c>
      <c r="K99" s="271">
        <v>129700</v>
      </c>
      <c r="L99" s="271">
        <v>0</v>
      </c>
      <c r="M99" s="271">
        <v>151064</v>
      </c>
      <c r="N99" s="69"/>
      <c r="O99" s="69">
        <v>-41634</v>
      </c>
      <c r="P99" s="69">
        <v>37191</v>
      </c>
      <c r="Q99" s="69">
        <v>-4443</v>
      </c>
    </row>
    <row r="100" spans="1:17" ht="12" customHeight="1">
      <c r="A100" s="51">
        <v>2304</v>
      </c>
      <c r="B100" s="55" t="s">
        <v>89</v>
      </c>
      <c r="C100" s="272">
        <v>905105</v>
      </c>
      <c r="D100" s="272">
        <v>9700</v>
      </c>
      <c r="E100" s="272">
        <v>8091</v>
      </c>
      <c r="F100" s="272">
        <v>169368</v>
      </c>
      <c r="G100" s="272">
        <v>466532</v>
      </c>
      <c r="H100" s="272">
        <v>653691</v>
      </c>
      <c r="I100" s="272"/>
      <c r="J100" s="272">
        <v>94542</v>
      </c>
      <c r="K100" s="272">
        <v>573961</v>
      </c>
      <c r="L100" s="272">
        <v>365322</v>
      </c>
      <c r="M100" s="272">
        <v>1033825</v>
      </c>
      <c r="N100" s="273"/>
      <c r="O100" s="273">
        <v>-184240</v>
      </c>
      <c r="P100" s="273">
        <v>47880</v>
      </c>
      <c r="Q100" s="273">
        <v>-136360</v>
      </c>
    </row>
    <row r="101" spans="1:17" ht="12" customHeight="1">
      <c r="A101" s="53">
        <v>11101</v>
      </c>
      <c r="B101" s="54" t="s">
        <v>91</v>
      </c>
      <c r="C101" s="271">
        <v>10449261</v>
      </c>
      <c r="D101" s="271">
        <v>111985</v>
      </c>
      <c r="E101" s="271">
        <v>93406</v>
      </c>
      <c r="F101" s="271">
        <v>1955319</v>
      </c>
      <c r="G101" s="271">
        <v>2121012</v>
      </c>
      <c r="H101" s="271">
        <v>4281722</v>
      </c>
      <c r="I101" s="271"/>
      <c r="J101" s="271">
        <v>1091471</v>
      </c>
      <c r="K101" s="271">
        <v>6626263</v>
      </c>
      <c r="L101" s="148">
        <v>3570616</v>
      </c>
      <c r="M101" s="271">
        <v>11288350</v>
      </c>
      <c r="N101" s="69"/>
      <c r="O101" s="69">
        <v>-2127017</v>
      </c>
      <c r="P101" s="69">
        <v>-920650</v>
      </c>
      <c r="Q101" s="69">
        <v>-3047667</v>
      </c>
    </row>
    <row r="102" spans="1:17" ht="12" customHeight="1">
      <c r="A102" s="51">
        <v>11102</v>
      </c>
      <c r="B102" s="55" t="s">
        <v>90</v>
      </c>
      <c r="C102" s="272">
        <v>3629965</v>
      </c>
      <c r="D102" s="272">
        <v>38902</v>
      </c>
      <c r="E102" s="272">
        <v>32448</v>
      </c>
      <c r="F102" s="272">
        <v>679257</v>
      </c>
      <c r="G102" s="272">
        <v>206763</v>
      </c>
      <c r="H102" s="272">
        <v>957370</v>
      </c>
      <c r="I102" s="272"/>
      <c r="J102" s="272">
        <v>379166</v>
      </c>
      <c r="K102" s="272">
        <v>2301895</v>
      </c>
      <c r="L102" s="147">
        <v>487752</v>
      </c>
      <c r="M102" s="272">
        <v>3168813</v>
      </c>
      <c r="N102" s="273"/>
      <c r="O102" s="273">
        <v>-738903</v>
      </c>
      <c r="P102" s="273">
        <v>-273743</v>
      </c>
      <c r="Q102" s="273">
        <v>-1012646</v>
      </c>
    </row>
    <row r="103" spans="1:17" ht="12" customHeight="1">
      <c r="A103" s="53">
        <v>3100</v>
      </c>
      <c r="B103" s="54" t="s">
        <v>92</v>
      </c>
      <c r="C103" s="271">
        <v>7429959</v>
      </c>
      <c r="D103" s="271">
        <v>79627</v>
      </c>
      <c r="E103" s="271">
        <v>66417</v>
      </c>
      <c r="F103" s="271">
        <v>1390331</v>
      </c>
      <c r="G103" s="271">
        <v>1055878</v>
      </c>
      <c r="H103" s="271">
        <v>2592253</v>
      </c>
      <c r="I103" s="271"/>
      <c r="J103" s="271">
        <v>776092</v>
      </c>
      <c r="K103" s="271">
        <v>4711612</v>
      </c>
      <c r="L103" s="148">
        <v>1384469</v>
      </c>
      <c r="M103" s="271">
        <v>6872173</v>
      </c>
      <c r="N103" s="69"/>
      <c r="O103" s="69">
        <v>-1512417</v>
      </c>
      <c r="P103" s="69">
        <v>8757</v>
      </c>
      <c r="Q103" s="69">
        <v>-1503660</v>
      </c>
    </row>
    <row r="104" spans="1:17" ht="12" customHeight="1">
      <c r="A104" s="51">
        <v>2323</v>
      </c>
      <c r="B104" s="55" t="s">
        <v>93</v>
      </c>
      <c r="C104" s="272">
        <v>733844</v>
      </c>
      <c r="D104" s="272">
        <v>7865</v>
      </c>
      <c r="E104" s="272">
        <v>6560</v>
      </c>
      <c r="F104" s="272">
        <v>137321</v>
      </c>
      <c r="G104" s="272">
        <v>119386</v>
      </c>
      <c r="H104" s="272">
        <v>271132</v>
      </c>
      <c r="I104" s="272"/>
      <c r="J104" s="272">
        <v>76653</v>
      </c>
      <c r="K104" s="272">
        <v>465357</v>
      </c>
      <c r="L104" s="147">
        <v>141872</v>
      </c>
      <c r="M104" s="272">
        <v>683882</v>
      </c>
      <c r="N104" s="273"/>
      <c r="O104" s="273">
        <v>-149379</v>
      </c>
      <c r="P104" s="273">
        <v>29332</v>
      </c>
      <c r="Q104" s="273">
        <v>-120047</v>
      </c>
    </row>
    <row r="105" spans="1:17" ht="12" customHeight="1">
      <c r="A105" s="53">
        <v>11034</v>
      </c>
      <c r="B105" s="54" t="s">
        <v>94</v>
      </c>
      <c r="C105" s="271">
        <v>569168</v>
      </c>
      <c r="D105" s="271">
        <v>6100</v>
      </c>
      <c r="E105" s="271">
        <v>5088</v>
      </c>
      <c r="F105" s="271">
        <v>106506</v>
      </c>
      <c r="G105" s="271">
        <v>81976</v>
      </c>
      <c r="H105" s="271">
        <v>199670</v>
      </c>
      <c r="I105" s="271"/>
      <c r="J105" s="271">
        <v>59452</v>
      </c>
      <c r="K105" s="271">
        <v>360930</v>
      </c>
      <c r="L105" s="148">
        <v>57812</v>
      </c>
      <c r="M105" s="271">
        <v>478194</v>
      </c>
      <c r="N105" s="69"/>
      <c r="O105" s="69">
        <v>-115858</v>
      </c>
      <c r="P105" s="69">
        <v>54878</v>
      </c>
      <c r="Q105" s="69">
        <v>-60980</v>
      </c>
    </row>
    <row r="106" spans="1:17" ht="12" customHeight="1">
      <c r="A106" s="51">
        <v>17054</v>
      </c>
      <c r="B106" s="52" t="s">
        <v>95</v>
      </c>
      <c r="C106" s="115">
        <v>7642239</v>
      </c>
      <c r="D106" s="115">
        <v>81902</v>
      </c>
      <c r="E106" s="115">
        <v>68314</v>
      </c>
      <c r="F106" s="115">
        <v>1430054</v>
      </c>
      <c r="G106" s="115">
        <v>103558</v>
      </c>
      <c r="H106" s="115">
        <v>1683828</v>
      </c>
      <c r="I106" s="115"/>
      <c r="J106" s="115">
        <v>798265</v>
      </c>
      <c r="K106" s="115">
        <v>4846226</v>
      </c>
      <c r="L106" s="117">
        <v>1388451</v>
      </c>
      <c r="M106" s="115">
        <v>7032942</v>
      </c>
      <c r="N106" s="116"/>
      <c r="O106" s="116">
        <v>-1555629</v>
      </c>
      <c r="P106" s="116">
        <v>-307033</v>
      </c>
      <c r="Q106" s="116">
        <v>-1862662</v>
      </c>
    </row>
    <row r="107" spans="1:17" ht="12" customHeight="1">
      <c r="A107" s="53">
        <v>22065</v>
      </c>
      <c r="B107" s="54" t="s">
        <v>96</v>
      </c>
      <c r="C107" s="271">
        <v>1954188</v>
      </c>
      <c r="D107" s="271">
        <v>20943</v>
      </c>
      <c r="E107" s="271">
        <v>17469</v>
      </c>
      <c r="F107" s="271">
        <v>365678</v>
      </c>
      <c r="G107" s="271">
        <v>337753</v>
      </c>
      <c r="H107" s="271">
        <v>741843</v>
      </c>
      <c r="I107" s="271"/>
      <c r="J107" s="271">
        <v>204124</v>
      </c>
      <c r="K107" s="271">
        <v>1239223</v>
      </c>
      <c r="L107" s="271">
        <v>96256</v>
      </c>
      <c r="M107" s="271">
        <v>1539603</v>
      </c>
      <c r="N107" s="69"/>
      <c r="O107" s="69">
        <v>-397788</v>
      </c>
      <c r="P107" s="69">
        <v>83454</v>
      </c>
      <c r="Q107" s="69">
        <v>-314334</v>
      </c>
    </row>
    <row r="108" spans="1:17" ht="12" customHeight="1">
      <c r="A108" s="51">
        <v>22201</v>
      </c>
      <c r="B108" s="55" t="s">
        <v>97</v>
      </c>
      <c r="C108" s="272">
        <v>1147501</v>
      </c>
      <c r="D108" s="272">
        <v>12298</v>
      </c>
      <c r="E108" s="272">
        <v>10258</v>
      </c>
      <c r="F108" s="272">
        <v>214726</v>
      </c>
      <c r="G108" s="272">
        <v>379670</v>
      </c>
      <c r="H108" s="272">
        <v>616952</v>
      </c>
      <c r="I108" s="272"/>
      <c r="J108" s="272">
        <v>119862</v>
      </c>
      <c r="K108" s="272">
        <v>727673</v>
      </c>
      <c r="L108" s="272">
        <v>19723</v>
      </c>
      <c r="M108" s="272">
        <v>867258</v>
      </c>
      <c r="N108" s="273"/>
      <c r="O108" s="273">
        <v>-233581</v>
      </c>
      <c r="P108" s="273">
        <v>164492</v>
      </c>
      <c r="Q108" s="273">
        <v>-69089</v>
      </c>
    </row>
    <row r="109" spans="1:17" ht="12" customHeight="1">
      <c r="A109" s="53">
        <v>6016</v>
      </c>
      <c r="B109" s="54" t="s">
        <v>98</v>
      </c>
      <c r="C109" s="271">
        <v>1877126</v>
      </c>
      <c r="D109" s="271">
        <v>20117</v>
      </c>
      <c r="E109" s="271">
        <v>16780</v>
      </c>
      <c r="F109" s="271">
        <v>351257</v>
      </c>
      <c r="G109" s="271">
        <v>217135</v>
      </c>
      <c r="H109" s="271">
        <v>605289</v>
      </c>
      <c r="I109" s="271"/>
      <c r="J109" s="271">
        <v>196074</v>
      </c>
      <c r="K109" s="271">
        <v>1190355</v>
      </c>
      <c r="L109" s="271">
        <v>180621</v>
      </c>
      <c r="M109" s="271">
        <v>1567050</v>
      </c>
      <c r="N109" s="69"/>
      <c r="O109" s="69">
        <v>-382102</v>
      </c>
      <c r="P109" s="69">
        <v>81257</v>
      </c>
      <c r="Q109" s="69">
        <v>-300845</v>
      </c>
    </row>
    <row r="110" spans="1:17" ht="12" customHeight="1">
      <c r="A110" s="51">
        <v>2432</v>
      </c>
      <c r="B110" s="55" t="s">
        <v>99</v>
      </c>
      <c r="C110" s="272">
        <v>2983329</v>
      </c>
      <c r="D110" s="272">
        <v>31972</v>
      </c>
      <c r="E110" s="272">
        <v>26668</v>
      </c>
      <c r="F110" s="272">
        <v>558256</v>
      </c>
      <c r="G110" s="272">
        <v>2615723</v>
      </c>
      <c r="H110" s="272">
        <v>3232619</v>
      </c>
      <c r="I110" s="272"/>
      <c r="J110" s="272">
        <v>311622</v>
      </c>
      <c r="K110" s="272">
        <v>1891839</v>
      </c>
      <c r="L110" s="272">
        <v>38105</v>
      </c>
      <c r="M110" s="272">
        <v>2241566</v>
      </c>
      <c r="N110" s="273"/>
      <c r="O110" s="273">
        <v>-607276</v>
      </c>
      <c r="P110" s="273">
        <v>949797</v>
      </c>
      <c r="Q110" s="273">
        <v>342521</v>
      </c>
    </row>
    <row r="111" spans="1:17" ht="12" customHeight="1">
      <c r="A111" s="53">
        <v>7440</v>
      </c>
      <c r="B111" s="54" t="s">
        <v>428</v>
      </c>
      <c r="C111" s="271">
        <v>673697</v>
      </c>
      <c r="D111" s="271">
        <v>7220</v>
      </c>
      <c r="E111" s="271">
        <v>6022</v>
      </c>
      <c r="F111" s="271">
        <v>126065</v>
      </c>
      <c r="G111" s="271">
        <v>930236</v>
      </c>
      <c r="H111" s="271">
        <v>1069543</v>
      </c>
      <c r="I111" s="271"/>
      <c r="J111" s="271">
        <v>70371</v>
      </c>
      <c r="K111" s="271">
        <v>427216</v>
      </c>
      <c r="L111" s="148">
        <v>0</v>
      </c>
      <c r="M111" s="271">
        <v>497587</v>
      </c>
      <c r="N111" s="69"/>
      <c r="O111" s="69">
        <v>-137135</v>
      </c>
      <c r="P111" s="69">
        <v>241310</v>
      </c>
      <c r="Q111" s="69">
        <v>104175</v>
      </c>
    </row>
    <row r="112" spans="1:17" ht="12" customHeight="1">
      <c r="A112" s="51">
        <v>29125</v>
      </c>
      <c r="B112" s="55" t="s">
        <v>454</v>
      </c>
      <c r="C112" s="272">
        <v>461318</v>
      </c>
      <c r="D112" s="272">
        <v>4944</v>
      </c>
      <c r="E112" s="272">
        <v>4124</v>
      </c>
      <c r="F112" s="272">
        <v>86324</v>
      </c>
      <c r="G112" s="147">
        <v>692950</v>
      </c>
      <c r="H112" s="272">
        <v>788342</v>
      </c>
      <c r="I112" s="272"/>
      <c r="J112" s="272">
        <v>48187</v>
      </c>
      <c r="K112" s="272">
        <v>292539</v>
      </c>
      <c r="L112" s="272">
        <v>0</v>
      </c>
      <c r="M112" s="272">
        <v>340726</v>
      </c>
      <c r="N112" s="273"/>
      <c r="O112" s="273">
        <v>-93904</v>
      </c>
      <c r="P112" s="273">
        <v>140558</v>
      </c>
      <c r="Q112" s="273">
        <v>46654</v>
      </c>
    </row>
    <row r="113" spans="1:17" ht="12" customHeight="1">
      <c r="A113" s="53">
        <v>16052</v>
      </c>
      <c r="B113" s="54" t="s">
        <v>100</v>
      </c>
      <c r="C113" s="271">
        <v>23536959</v>
      </c>
      <c r="D113" s="271">
        <v>252247</v>
      </c>
      <c r="E113" s="271">
        <v>210398</v>
      </c>
      <c r="F113" s="271">
        <v>4404355</v>
      </c>
      <c r="G113" s="271">
        <v>1995431</v>
      </c>
      <c r="H113" s="271">
        <v>6862431</v>
      </c>
      <c r="I113" s="271"/>
      <c r="J113" s="271">
        <v>2458539</v>
      </c>
      <c r="K113" s="271">
        <v>14925656</v>
      </c>
      <c r="L113" s="148">
        <v>2224735</v>
      </c>
      <c r="M113" s="271">
        <v>19608930</v>
      </c>
      <c r="N113" s="69"/>
      <c r="O113" s="69">
        <v>-4791104</v>
      </c>
      <c r="P113" s="69">
        <v>729946</v>
      </c>
      <c r="Q113" s="69">
        <v>-4061158</v>
      </c>
    </row>
    <row r="114" spans="1:17" ht="12" customHeight="1">
      <c r="A114" s="51">
        <v>11118</v>
      </c>
      <c r="B114" s="55" t="s">
        <v>101</v>
      </c>
      <c r="C114" s="272">
        <v>640512</v>
      </c>
      <c r="D114" s="272">
        <v>6864</v>
      </c>
      <c r="E114" s="272">
        <v>5726</v>
      </c>
      <c r="F114" s="272">
        <v>119856</v>
      </c>
      <c r="G114" s="147">
        <v>28714</v>
      </c>
      <c r="H114" s="272">
        <v>161160</v>
      </c>
      <c r="I114" s="272"/>
      <c r="J114" s="272">
        <v>66904</v>
      </c>
      <c r="K114" s="272">
        <v>406172</v>
      </c>
      <c r="L114" s="272">
        <v>89584</v>
      </c>
      <c r="M114" s="272">
        <v>562660</v>
      </c>
      <c r="N114" s="273"/>
      <c r="O114" s="273">
        <v>-130380</v>
      </c>
      <c r="P114" s="273">
        <v>-36951</v>
      </c>
      <c r="Q114" s="273">
        <v>-167331</v>
      </c>
    </row>
    <row r="115" spans="1:17" ht="12" customHeight="1">
      <c r="A115" s="53">
        <v>27083</v>
      </c>
      <c r="B115" s="54" t="s">
        <v>102</v>
      </c>
      <c r="C115" s="271">
        <v>856057</v>
      </c>
      <c r="D115" s="271">
        <v>9174</v>
      </c>
      <c r="E115" s="271">
        <v>7652</v>
      </c>
      <c r="F115" s="271">
        <v>160190</v>
      </c>
      <c r="G115" s="271">
        <v>34565</v>
      </c>
      <c r="H115" s="271">
        <v>211581</v>
      </c>
      <c r="I115" s="271"/>
      <c r="J115" s="271">
        <v>89419</v>
      </c>
      <c r="K115" s="271">
        <v>542858</v>
      </c>
      <c r="L115" s="148">
        <v>213350</v>
      </c>
      <c r="M115" s="271">
        <v>845627</v>
      </c>
      <c r="N115" s="69"/>
      <c r="O115" s="69">
        <v>-174256</v>
      </c>
      <c r="P115" s="69">
        <v>-22013</v>
      </c>
      <c r="Q115" s="69">
        <v>-196269</v>
      </c>
    </row>
    <row r="116" spans="1:17" ht="12" customHeight="1">
      <c r="A116" s="51">
        <v>7021</v>
      </c>
      <c r="B116" s="55" t="s">
        <v>103</v>
      </c>
      <c r="C116" s="272">
        <v>31098045</v>
      </c>
      <c r="D116" s="272">
        <v>333279</v>
      </c>
      <c r="E116" s="272">
        <v>277986</v>
      </c>
      <c r="F116" s="272">
        <v>5819223</v>
      </c>
      <c r="G116" s="272">
        <v>1124217</v>
      </c>
      <c r="H116" s="272">
        <v>7554705</v>
      </c>
      <c r="I116" s="272"/>
      <c r="J116" s="272">
        <v>3248327</v>
      </c>
      <c r="K116" s="272">
        <v>19720419</v>
      </c>
      <c r="L116" s="272">
        <v>2173929</v>
      </c>
      <c r="M116" s="272">
        <v>25142675</v>
      </c>
      <c r="N116" s="273"/>
      <c r="O116" s="273">
        <v>-6330214</v>
      </c>
      <c r="P116" s="273">
        <v>356359</v>
      </c>
      <c r="Q116" s="273">
        <v>-5973855</v>
      </c>
    </row>
    <row r="117" spans="1:17" ht="12" customHeight="1">
      <c r="A117" s="53">
        <v>4140</v>
      </c>
      <c r="B117" s="54" t="s">
        <v>104</v>
      </c>
      <c r="C117" s="271">
        <v>210977</v>
      </c>
      <c r="D117" s="271">
        <v>2261</v>
      </c>
      <c r="E117" s="271">
        <v>1886</v>
      </c>
      <c r="F117" s="271">
        <v>39479</v>
      </c>
      <c r="G117" s="271">
        <v>57477</v>
      </c>
      <c r="H117" s="271">
        <v>101103</v>
      </c>
      <c r="I117" s="271"/>
      <c r="J117" s="271">
        <v>22037</v>
      </c>
      <c r="K117" s="271">
        <v>133788</v>
      </c>
      <c r="L117" s="271">
        <v>43466</v>
      </c>
      <c r="M117" s="271">
        <v>199291</v>
      </c>
      <c r="N117" s="69"/>
      <c r="O117" s="69">
        <v>-42946</v>
      </c>
      <c r="P117" s="69">
        <v>9778</v>
      </c>
      <c r="Q117" s="69">
        <v>-33168</v>
      </c>
    </row>
    <row r="118" spans="1:17" ht="12" customHeight="1">
      <c r="A118" s="51">
        <v>13041</v>
      </c>
      <c r="B118" s="55" t="s">
        <v>105</v>
      </c>
      <c r="C118" s="272">
        <v>28639026</v>
      </c>
      <c r="D118" s="272">
        <v>306926</v>
      </c>
      <c r="E118" s="272">
        <v>256005</v>
      </c>
      <c r="F118" s="272">
        <v>5359079</v>
      </c>
      <c r="G118" s="272">
        <v>1299215</v>
      </c>
      <c r="H118" s="272">
        <v>7221225</v>
      </c>
      <c r="I118" s="272"/>
      <c r="J118" s="272">
        <v>2991472</v>
      </c>
      <c r="K118" s="272">
        <v>18161065</v>
      </c>
      <c r="L118" s="147">
        <v>2908503</v>
      </c>
      <c r="M118" s="272">
        <v>24061040</v>
      </c>
      <c r="N118" s="273"/>
      <c r="O118" s="273">
        <v>-5829664</v>
      </c>
      <c r="P118" s="273">
        <v>-609722</v>
      </c>
      <c r="Q118" s="273">
        <v>-6439386</v>
      </c>
    </row>
    <row r="119" spans="1:17" ht="12" customHeight="1">
      <c r="A119" s="53">
        <v>2339</v>
      </c>
      <c r="B119" s="54" t="s">
        <v>106</v>
      </c>
      <c r="C119" s="271">
        <v>420847</v>
      </c>
      <c r="D119" s="271">
        <v>4510</v>
      </c>
      <c r="E119" s="271">
        <v>3762</v>
      </c>
      <c r="F119" s="271">
        <v>78751</v>
      </c>
      <c r="G119" s="271">
        <v>130412</v>
      </c>
      <c r="H119" s="271">
        <v>217435</v>
      </c>
      <c r="I119" s="271"/>
      <c r="J119" s="271">
        <v>43959</v>
      </c>
      <c r="K119" s="271">
        <v>266874</v>
      </c>
      <c r="L119" s="271">
        <v>117307</v>
      </c>
      <c r="M119" s="271">
        <v>428140</v>
      </c>
      <c r="N119" s="69"/>
      <c r="O119" s="69">
        <v>-85666</v>
      </c>
      <c r="P119" s="69">
        <v>-7728</v>
      </c>
      <c r="Q119" s="69">
        <v>-93394</v>
      </c>
    </row>
    <row r="120" spans="1:17" ht="12" customHeight="1">
      <c r="A120" s="51">
        <v>2362</v>
      </c>
      <c r="B120" s="55" t="s">
        <v>107</v>
      </c>
      <c r="C120" s="272">
        <v>468900</v>
      </c>
      <c r="D120" s="272">
        <v>5025</v>
      </c>
      <c r="E120" s="272">
        <v>4192</v>
      </c>
      <c r="F120" s="272">
        <v>87743</v>
      </c>
      <c r="G120" s="272">
        <v>66023</v>
      </c>
      <c r="H120" s="272">
        <v>162983</v>
      </c>
      <c r="I120" s="272"/>
      <c r="J120" s="272">
        <v>48979</v>
      </c>
      <c r="K120" s="272">
        <v>297347</v>
      </c>
      <c r="L120" s="272">
        <v>395620</v>
      </c>
      <c r="M120" s="272">
        <v>741946</v>
      </c>
      <c r="N120" s="273"/>
      <c r="O120" s="273">
        <v>-95448</v>
      </c>
      <c r="P120" s="273">
        <v>-137628</v>
      </c>
      <c r="Q120" s="273">
        <v>-233076</v>
      </c>
    </row>
    <row r="121" spans="1:17" ht="12" customHeight="1">
      <c r="A121" s="53">
        <v>5013</v>
      </c>
      <c r="B121" s="54" t="s">
        <v>108</v>
      </c>
      <c r="C121" s="271">
        <v>505392</v>
      </c>
      <c r="D121" s="271">
        <v>5416</v>
      </c>
      <c r="E121" s="271">
        <v>4518</v>
      </c>
      <c r="F121" s="271">
        <v>94571</v>
      </c>
      <c r="G121" s="271">
        <v>46770</v>
      </c>
      <c r="H121" s="271">
        <v>151275</v>
      </c>
      <c r="I121" s="271"/>
      <c r="J121" s="271">
        <v>52790</v>
      </c>
      <c r="K121" s="271">
        <v>320487</v>
      </c>
      <c r="L121" s="271">
        <v>56262</v>
      </c>
      <c r="M121" s="271">
        <v>429539</v>
      </c>
      <c r="N121" s="69"/>
      <c r="O121" s="69">
        <v>-102876</v>
      </c>
      <c r="P121" s="69">
        <v>3638</v>
      </c>
      <c r="Q121" s="69">
        <v>-99238</v>
      </c>
    </row>
    <row r="122" spans="1:17" ht="12" customHeight="1">
      <c r="A122" s="51">
        <v>3110</v>
      </c>
      <c r="B122" s="55" t="s">
        <v>109</v>
      </c>
      <c r="C122" s="272">
        <v>2229922</v>
      </c>
      <c r="D122" s="272">
        <v>23898</v>
      </c>
      <c r="E122" s="272">
        <v>19933</v>
      </c>
      <c r="F122" s="272">
        <v>417274</v>
      </c>
      <c r="G122" s="272">
        <v>76103</v>
      </c>
      <c r="H122" s="272">
        <v>537208</v>
      </c>
      <c r="I122" s="272"/>
      <c r="J122" s="272">
        <v>232925</v>
      </c>
      <c r="K122" s="272">
        <v>1414076</v>
      </c>
      <c r="L122" s="147">
        <v>677252</v>
      </c>
      <c r="M122" s="272">
        <v>2324253</v>
      </c>
      <c r="N122" s="273"/>
      <c r="O122" s="273">
        <v>-453916</v>
      </c>
      <c r="P122" s="273">
        <v>-251499</v>
      </c>
      <c r="Q122" s="273">
        <v>-705415</v>
      </c>
    </row>
    <row r="123" spans="1:17" ht="12" customHeight="1">
      <c r="A123" s="53">
        <v>14044</v>
      </c>
      <c r="B123" s="54" t="s">
        <v>110</v>
      </c>
      <c r="C123" s="271">
        <v>8678863</v>
      </c>
      <c r="D123" s="271">
        <v>93012</v>
      </c>
      <c r="E123" s="271">
        <v>77581</v>
      </c>
      <c r="F123" s="271">
        <v>1624033</v>
      </c>
      <c r="G123" s="271">
        <v>1141668</v>
      </c>
      <c r="H123" s="271">
        <v>2936294</v>
      </c>
      <c r="I123" s="271"/>
      <c r="J123" s="271">
        <v>906545</v>
      </c>
      <c r="K123" s="271">
        <v>5503588</v>
      </c>
      <c r="L123" s="271">
        <v>656354</v>
      </c>
      <c r="M123" s="271">
        <v>7066487</v>
      </c>
      <c r="N123" s="69"/>
      <c r="O123" s="69">
        <v>-1766640</v>
      </c>
      <c r="P123" s="69">
        <v>125358</v>
      </c>
      <c r="Q123" s="69">
        <v>-1641282</v>
      </c>
    </row>
    <row r="124" spans="1:17" ht="12" customHeight="1">
      <c r="A124" s="51">
        <v>4009</v>
      </c>
      <c r="B124" s="55" t="s">
        <v>111</v>
      </c>
      <c r="C124" s="272">
        <v>1144530</v>
      </c>
      <c r="D124" s="272">
        <v>12266</v>
      </c>
      <c r="E124" s="272">
        <v>10231</v>
      </c>
      <c r="F124" s="272">
        <v>214170</v>
      </c>
      <c r="G124" s="272">
        <v>205248</v>
      </c>
      <c r="H124" s="272">
        <v>441915</v>
      </c>
      <c r="I124" s="272"/>
      <c r="J124" s="272">
        <v>119551</v>
      </c>
      <c r="K124" s="272">
        <v>725789</v>
      </c>
      <c r="L124" s="147">
        <v>205240</v>
      </c>
      <c r="M124" s="272">
        <v>1050580</v>
      </c>
      <c r="N124" s="273"/>
      <c r="O124" s="273">
        <v>-232977</v>
      </c>
      <c r="P124" s="273">
        <v>-72276</v>
      </c>
      <c r="Q124" s="273">
        <v>-305253</v>
      </c>
    </row>
    <row r="125" spans="1:17" ht="12" customHeight="1">
      <c r="A125" s="53">
        <v>7022</v>
      </c>
      <c r="B125" s="54" t="s">
        <v>112</v>
      </c>
      <c r="C125" s="271">
        <v>3237300</v>
      </c>
      <c r="D125" s="271">
        <v>34694</v>
      </c>
      <c r="E125" s="271">
        <v>28938</v>
      </c>
      <c r="F125" s="271">
        <v>605780</v>
      </c>
      <c r="G125" s="148">
        <v>669475</v>
      </c>
      <c r="H125" s="271">
        <v>1338887</v>
      </c>
      <c r="I125" s="271"/>
      <c r="J125" s="271">
        <v>338150</v>
      </c>
      <c r="K125" s="271">
        <v>2052892</v>
      </c>
      <c r="L125" s="271">
        <v>366332</v>
      </c>
      <c r="M125" s="271">
        <v>2757374</v>
      </c>
      <c r="N125" s="69"/>
      <c r="O125" s="69">
        <v>-658974</v>
      </c>
      <c r="P125" s="69">
        <v>157131</v>
      </c>
      <c r="Q125" s="69">
        <v>-501843</v>
      </c>
    </row>
    <row r="126" spans="1:17" ht="12" customHeight="1">
      <c r="A126" s="51">
        <v>2430</v>
      </c>
      <c r="B126" s="55" t="s">
        <v>113</v>
      </c>
      <c r="C126" s="272">
        <v>417427</v>
      </c>
      <c r="D126" s="272">
        <v>4474</v>
      </c>
      <c r="E126" s="272">
        <v>3731</v>
      </c>
      <c r="F126" s="272">
        <v>78111</v>
      </c>
      <c r="G126" s="272">
        <v>0</v>
      </c>
      <c r="H126" s="272">
        <v>86316</v>
      </c>
      <c r="I126" s="272"/>
      <c r="J126" s="272">
        <v>43602</v>
      </c>
      <c r="K126" s="272">
        <v>264706</v>
      </c>
      <c r="L126" s="147">
        <v>122482</v>
      </c>
      <c r="M126" s="272">
        <v>430790</v>
      </c>
      <c r="N126" s="273"/>
      <c r="O126" s="273">
        <v>-84970</v>
      </c>
      <c r="P126" s="273">
        <v>-60134</v>
      </c>
      <c r="Q126" s="273">
        <v>-145104</v>
      </c>
    </row>
    <row r="127" spans="1:17" ht="12" customHeight="1">
      <c r="A127" s="53">
        <v>9150</v>
      </c>
      <c r="B127" s="54" t="s">
        <v>114</v>
      </c>
      <c r="C127" s="271">
        <v>234100</v>
      </c>
      <c r="D127" s="271">
        <v>2509</v>
      </c>
      <c r="E127" s="271">
        <v>2093</v>
      </c>
      <c r="F127" s="271">
        <v>43806</v>
      </c>
      <c r="G127" s="148">
        <v>39573</v>
      </c>
      <c r="H127" s="271">
        <v>87981</v>
      </c>
      <c r="I127" s="271"/>
      <c r="J127" s="271">
        <v>24453</v>
      </c>
      <c r="K127" s="271">
        <v>148451</v>
      </c>
      <c r="L127" s="271">
        <v>184372</v>
      </c>
      <c r="M127" s="271">
        <v>357276</v>
      </c>
      <c r="N127" s="69"/>
      <c r="O127" s="69">
        <v>-47653</v>
      </c>
      <c r="P127" s="69">
        <v>-162202</v>
      </c>
      <c r="Q127" s="69">
        <v>-209855</v>
      </c>
    </row>
    <row r="128" spans="1:17" ht="12" customHeight="1">
      <c r="A128" s="51">
        <v>6017</v>
      </c>
      <c r="B128" s="55" t="s">
        <v>115</v>
      </c>
      <c r="C128" s="272">
        <v>22438562</v>
      </c>
      <c r="D128" s="272">
        <v>240475</v>
      </c>
      <c r="E128" s="272">
        <v>200579</v>
      </c>
      <c r="F128" s="272">
        <v>4198817</v>
      </c>
      <c r="G128" s="272">
        <v>3303328</v>
      </c>
      <c r="H128" s="272">
        <v>7943199</v>
      </c>
      <c r="I128" s="272"/>
      <c r="J128" s="272">
        <v>2343806</v>
      </c>
      <c r="K128" s="272">
        <v>14229122</v>
      </c>
      <c r="L128" s="147">
        <v>1856910</v>
      </c>
      <c r="M128" s="272">
        <v>18429838</v>
      </c>
      <c r="N128" s="273"/>
      <c r="O128" s="273">
        <v>-4567518</v>
      </c>
      <c r="P128" s="273">
        <v>1282498</v>
      </c>
      <c r="Q128" s="273">
        <v>-3285020</v>
      </c>
    </row>
    <row r="129" spans="1:17" ht="12" customHeight="1">
      <c r="A129" s="53">
        <v>26080</v>
      </c>
      <c r="B129" s="54" t="s">
        <v>116</v>
      </c>
      <c r="C129" s="271">
        <v>664447</v>
      </c>
      <c r="D129" s="271">
        <v>7121</v>
      </c>
      <c r="E129" s="271">
        <v>5940</v>
      </c>
      <c r="F129" s="271">
        <v>124335</v>
      </c>
      <c r="G129" s="271">
        <v>155691</v>
      </c>
      <c r="H129" s="271">
        <v>293087</v>
      </c>
      <c r="I129" s="271"/>
      <c r="J129" s="271">
        <v>69404</v>
      </c>
      <c r="K129" s="271">
        <v>421351</v>
      </c>
      <c r="L129" s="271">
        <v>76593</v>
      </c>
      <c r="M129" s="271">
        <v>567348</v>
      </c>
      <c r="N129" s="69"/>
      <c r="O129" s="69">
        <v>-135253</v>
      </c>
      <c r="P129" s="69">
        <v>42382</v>
      </c>
      <c r="Q129" s="69">
        <v>-92871</v>
      </c>
    </row>
    <row r="130" spans="1:17" ht="12" customHeight="1">
      <c r="A130" s="51">
        <v>2327</v>
      </c>
      <c r="B130" s="55" t="s">
        <v>117</v>
      </c>
      <c r="C130" s="272">
        <v>830062</v>
      </c>
      <c r="D130" s="272">
        <v>8896</v>
      </c>
      <c r="E130" s="272">
        <v>7420</v>
      </c>
      <c r="F130" s="272">
        <v>155325</v>
      </c>
      <c r="G130" s="272">
        <v>105565</v>
      </c>
      <c r="H130" s="272">
        <v>277206</v>
      </c>
      <c r="I130" s="272"/>
      <c r="J130" s="272">
        <v>86704</v>
      </c>
      <c r="K130" s="272">
        <v>526373</v>
      </c>
      <c r="L130" s="272">
        <v>70823</v>
      </c>
      <c r="M130" s="272">
        <v>683900</v>
      </c>
      <c r="N130" s="273"/>
      <c r="O130" s="273">
        <v>-168965</v>
      </c>
      <c r="P130" s="273">
        <v>7036</v>
      </c>
      <c r="Q130" s="273">
        <v>-161929</v>
      </c>
    </row>
    <row r="131" spans="1:17" ht="12" customHeight="1">
      <c r="A131" s="53">
        <v>10119</v>
      </c>
      <c r="B131" s="54" t="s">
        <v>118</v>
      </c>
      <c r="C131" s="271">
        <v>381524</v>
      </c>
      <c r="D131" s="271">
        <v>4089</v>
      </c>
      <c r="E131" s="271">
        <v>3410</v>
      </c>
      <c r="F131" s="271">
        <v>71393</v>
      </c>
      <c r="G131" s="271">
        <v>59992</v>
      </c>
      <c r="H131" s="271">
        <v>138884</v>
      </c>
      <c r="I131" s="271"/>
      <c r="J131" s="271">
        <v>39852</v>
      </c>
      <c r="K131" s="271">
        <v>241939</v>
      </c>
      <c r="L131" s="271">
        <v>129929</v>
      </c>
      <c r="M131" s="271">
        <v>411720</v>
      </c>
      <c r="N131" s="69"/>
      <c r="O131" s="69">
        <v>-77662</v>
      </c>
      <c r="P131" s="69">
        <v>-27982</v>
      </c>
      <c r="Q131" s="69">
        <v>-105644</v>
      </c>
    </row>
    <row r="132" spans="1:17" ht="12" customHeight="1">
      <c r="A132" s="51">
        <v>13436</v>
      </c>
      <c r="B132" s="55" t="s">
        <v>394</v>
      </c>
      <c r="C132" s="272">
        <v>1952352</v>
      </c>
      <c r="D132" s="272">
        <v>20923</v>
      </c>
      <c r="E132" s="272">
        <v>17452</v>
      </c>
      <c r="F132" s="272">
        <v>365334</v>
      </c>
      <c r="G132" s="272">
        <v>2050615</v>
      </c>
      <c r="H132" s="272">
        <v>2454324</v>
      </c>
      <c r="I132" s="272"/>
      <c r="J132" s="272">
        <v>203932</v>
      </c>
      <c r="K132" s="272">
        <v>1238059</v>
      </c>
      <c r="L132" s="272">
        <v>0</v>
      </c>
      <c r="M132" s="272">
        <v>1441991</v>
      </c>
      <c r="N132" s="273"/>
      <c r="O132" s="273">
        <v>-397414</v>
      </c>
      <c r="P132" s="273">
        <v>737965</v>
      </c>
      <c r="Q132" s="273">
        <v>340551</v>
      </c>
    </row>
    <row r="133" spans="1:17" ht="12" customHeight="1">
      <c r="A133" s="53">
        <v>2368</v>
      </c>
      <c r="B133" s="54" t="s">
        <v>119</v>
      </c>
      <c r="C133" s="271">
        <v>803478</v>
      </c>
      <c r="D133" s="271">
        <v>8611</v>
      </c>
      <c r="E133" s="271">
        <v>7182</v>
      </c>
      <c r="F133" s="271">
        <v>150351</v>
      </c>
      <c r="G133" s="271">
        <v>339399</v>
      </c>
      <c r="H133" s="271">
        <v>505543</v>
      </c>
      <c r="I133" s="271"/>
      <c r="J133" s="271">
        <v>83927</v>
      </c>
      <c r="K133" s="271">
        <v>509515</v>
      </c>
      <c r="L133" s="148">
        <v>236356</v>
      </c>
      <c r="M133" s="271">
        <v>829798</v>
      </c>
      <c r="N133" s="69"/>
      <c r="O133" s="69">
        <v>-163553</v>
      </c>
      <c r="P133" s="69">
        <v>38483</v>
      </c>
      <c r="Q133" s="69">
        <v>-125070</v>
      </c>
    </row>
    <row r="134" spans="1:17" ht="12" customHeight="1">
      <c r="A134" s="51">
        <v>7420</v>
      </c>
      <c r="B134" s="55" t="s">
        <v>120</v>
      </c>
      <c r="C134" s="272">
        <v>482661</v>
      </c>
      <c r="D134" s="272">
        <v>5173</v>
      </c>
      <c r="E134" s="272">
        <v>4315</v>
      </c>
      <c r="F134" s="272">
        <v>90318</v>
      </c>
      <c r="G134" s="272">
        <v>106048</v>
      </c>
      <c r="H134" s="272">
        <v>205854</v>
      </c>
      <c r="I134" s="272"/>
      <c r="J134" s="272">
        <v>50416</v>
      </c>
      <c r="K134" s="272">
        <v>306073</v>
      </c>
      <c r="L134" s="147">
        <v>3114</v>
      </c>
      <c r="M134" s="272">
        <v>359603</v>
      </c>
      <c r="N134" s="273"/>
      <c r="O134" s="273">
        <v>-98249</v>
      </c>
      <c r="P134" s="273">
        <v>41039</v>
      </c>
      <c r="Q134" s="273">
        <v>-57210</v>
      </c>
    </row>
    <row r="135" spans="1:17" ht="12" customHeight="1">
      <c r="A135" s="53">
        <v>6018</v>
      </c>
      <c r="B135" s="54" t="s">
        <v>121</v>
      </c>
      <c r="C135" s="271">
        <v>1638935</v>
      </c>
      <c r="D135" s="271">
        <v>17565</v>
      </c>
      <c r="E135" s="271">
        <v>14650</v>
      </c>
      <c r="F135" s="271">
        <v>306686</v>
      </c>
      <c r="G135" s="271">
        <v>570536</v>
      </c>
      <c r="H135" s="271">
        <v>909437</v>
      </c>
      <c r="I135" s="271"/>
      <c r="J135" s="271">
        <v>171194</v>
      </c>
      <c r="K135" s="271">
        <v>1039309</v>
      </c>
      <c r="L135" s="271">
        <v>9716</v>
      </c>
      <c r="M135" s="271">
        <v>1220219</v>
      </c>
      <c r="N135" s="69"/>
      <c r="O135" s="69">
        <v>-333616</v>
      </c>
      <c r="P135" s="69">
        <v>151884</v>
      </c>
      <c r="Q135" s="69">
        <v>-181732</v>
      </c>
    </row>
    <row r="136" spans="1:17" ht="12" customHeight="1">
      <c r="A136" s="51">
        <v>3321</v>
      </c>
      <c r="B136" s="55" t="s">
        <v>122</v>
      </c>
      <c r="C136" s="272">
        <v>488309</v>
      </c>
      <c r="D136" s="272">
        <v>5233</v>
      </c>
      <c r="E136" s="272">
        <v>4365</v>
      </c>
      <c r="F136" s="272">
        <v>91375</v>
      </c>
      <c r="G136" s="272">
        <v>162734</v>
      </c>
      <c r="H136" s="272">
        <v>263707</v>
      </c>
      <c r="I136" s="272"/>
      <c r="J136" s="272">
        <v>51006</v>
      </c>
      <c r="K136" s="272">
        <v>309655</v>
      </c>
      <c r="L136" s="272">
        <v>237711</v>
      </c>
      <c r="M136" s="272">
        <v>598372</v>
      </c>
      <c r="N136" s="273"/>
      <c r="O136" s="273">
        <v>-99398</v>
      </c>
      <c r="P136" s="273">
        <v>27987</v>
      </c>
      <c r="Q136" s="273">
        <v>-71411</v>
      </c>
    </row>
    <row r="137" spans="1:17" ht="12" customHeight="1">
      <c r="A137" s="53">
        <v>29122</v>
      </c>
      <c r="B137" s="54" t="s">
        <v>123</v>
      </c>
      <c r="C137" s="271">
        <v>631235</v>
      </c>
      <c r="D137" s="271">
        <v>6765</v>
      </c>
      <c r="E137" s="271">
        <v>5643</v>
      </c>
      <c r="F137" s="271">
        <v>118120</v>
      </c>
      <c r="G137" s="271">
        <v>265875</v>
      </c>
      <c r="H137" s="271">
        <v>396403</v>
      </c>
      <c r="I137" s="271"/>
      <c r="J137" s="271">
        <v>65935</v>
      </c>
      <c r="K137" s="271">
        <v>400289</v>
      </c>
      <c r="L137" s="271">
        <v>451703</v>
      </c>
      <c r="M137" s="271">
        <v>917927</v>
      </c>
      <c r="N137" s="69"/>
      <c r="O137" s="69">
        <v>-128492</v>
      </c>
      <c r="P137" s="69">
        <v>-41664</v>
      </c>
      <c r="Q137" s="69">
        <v>-170156</v>
      </c>
    </row>
    <row r="138" spans="1:17" ht="12" customHeight="1">
      <c r="A138" s="51">
        <v>29088</v>
      </c>
      <c r="B138" s="55" t="s">
        <v>124</v>
      </c>
      <c r="C138" s="272">
        <v>943195</v>
      </c>
      <c r="D138" s="272">
        <v>10108</v>
      </c>
      <c r="E138" s="272">
        <v>8431</v>
      </c>
      <c r="F138" s="272">
        <v>176495</v>
      </c>
      <c r="G138" s="272">
        <v>123698</v>
      </c>
      <c r="H138" s="272">
        <v>318732</v>
      </c>
      <c r="I138" s="272"/>
      <c r="J138" s="272">
        <v>98521</v>
      </c>
      <c r="K138" s="272">
        <v>598115</v>
      </c>
      <c r="L138" s="272">
        <v>217286</v>
      </c>
      <c r="M138" s="272">
        <v>913922</v>
      </c>
      <c r="N138" s="273"/>
      <c r="O138" s="273">
        <v>-191994</v>
      </c>
      <c r="P138" s="273">
        <v>-51332</v>
      </c>
      <c r="Q138" s="273">
        <v>-243326</v>
      </c>
    </row>
    <row r="139" spans="1:17" ht="12" customHeight="1">
      <c r="A139" s="53">
        <v>7337</v>
      </c>
      <c r="B139" s="54" t="s">
        <v>125</v>
      </c>
      <c r="C139" s="271">
        <v>187111</v>
      </c>
      <c r="D139" s="271">
        <v>2005</v>
      </c>
      <c r="E139" s="271">
        <v>1673</v>
      </c>
      <c r="F139" s="271">
        <v>35013</v>
      </c>
      <c r="G139" s="271">
        <v>61526</v>
      </c>
      <c r="H139" s="271">
        <v>100217</v>
      </c>
      <c r="I139" s="271"/>
      <c r="J139" s="271">
        <v>19545</v>
      </c>
      <c r="K139" s="271">
        <v>118654</v>
      </c>
      <c r="L139" s="148">
        <v>220384</v>
      </c>
      <c r="M139" s="271">
        <v>358583</v>
      </c>
      <c r="N139" s="69"/>
      <c r="O139" s="69">
        <v>-38088</v>
      </c>
      <c r="P139" s="69">
        <v>-70570</v>
      </c>
      <c r="Q139" s="69">
        <v>-108658</v>
      </c>
    </row>
    <row r="140" spans="1:17" ht="12" customHeight="1">
      <c r="A140" s="51">
        <v>2329</v>
      </c>
      <c r="B140" s="55" t="s">
        <v>126</v>
      </c>
      <c r="C140" s="272">
        <v>638900</v>
      </c>
      <c r="D140" s="272">
        <v>6847</v>
      </c>
      <c r="E140" s="272">
        <v>5711</v>
      </c>
      <c r="F140" s="272">
        <v>119554</v>
      </c>
      <c r="G140" s="272">
        <v>77731</v>
      </c>
      <c r="H140" s="272">
        <v>209843</v>
      </c>
      <c r="I140" s="272"/>
      <c r="J140" s="272">
        <v>66736</v>
      </c>
      <c r="K140" s="272">
        <v>405150</v>
      </c>
      <c r="L140" s="147">
        <v>406621</v>
      </c>
      <c r="M140" s="272">
        <v>878507</v>
      </c>
      <c r="N140" s="273"/>
      <c r="O140" s="273">
        <v>-130052</v>
      </c>
      <c r="P140" s="273">
        <v>-167998</v>
      </c>
      <c r="Q140" s="273">
        <v>-298050</v>
      </c>
    </row>
    <row r="141" spans="1:17" ht="12" customHeight="1">
      <c r="A141" s="53">
        <v>4010</v>
      </c>
      <c r="B141" s="54" t="s">
        <v>129</v>
      </c>
      <c r="C141" s="271">
        <v>529944</v>
      </c>
      <c r="D141" s="271">
        <v>5679</v>
      </c>
      <c r="E141" s="271">
        <v>4737</v>
      </c>
      <c r="F141" s="271">
        <v>99166</v>
      </c>
      <c r="G141" s="271">
        <v>130046</v>
      </c>
      <c r="H141" s="271">
        <v>239628</v>
      </c>
      <c r="I141" s="271"/>
      <c r="J141" s="271">
        <v>55355</v>
      </c>
      <c r="K141" s="271">
        <v>336057</v>
      </c>
      <c r="L141" s="271">
        <v>0</v>
      </c>
      <c r="M141" s="271">
        <v>391412</v>
      </c>
      <c r="N141" s="69"/>
      <c r="O141" s="69">
        <v>-107874</v>
      </c>
      <c r="P141" s="69">
        <v>53188</v>
      </c>
      <c r="Q141" s="69">
        <v>-54686</v>
      </c>
    </row>
    <row r="142" spans="1:17" ht="12" customHeight="1">
      <c r="A142" s="51">
        <v>7023</v>
      </c>
      <c r="B142" s="55" t="s">
        <v>410</v>
      </c>
      <c r="C142" s="272">
        <v>58945392</v>
      </c>
      <c r="D142" s="272">
        <v>631720</v>
      </c>
      <c r="E142" s="272">
        <v>526915</v>
      </c>
      <c r="F142" s="272">
        <v>11030160</v>
      </c>
      <c r="G142" s="272">
        <v>6845063</v>
      </c>
      <c r="H142" s="272">
        <v>19033858</v>
      </c>
      <c r="I142" s="272"/>
      <c r="J142" s="272">
        <v>6157105</v>
      </c>
      <c r="K142" s="272">
        <v>37379452</v>
      </c>
      <c r="L142" s="272">
        <v>2904978</v>
      </c>
      <c r="M142" s="272">
        <v>46441535</v>
      </c>
      <c r="N142" s="273"/>
      <c r="O142" s="273">
        <v>-11998726</v>
      </c>
      <c r="P142" s="273">
        <v>1865855</v>
      </c>
      <c r="Q142" s="273">
        <v>-10132871</v>
      </c>
    </row>
    <row r="143" spans="1:17" ht="12" customHeight="1">
      <c r="A143" s="53">
        <v>7338</v>
      </c>
      <c r="B143" s="54" t="s">
        <v>131</v>
      </c>
      <c r="C143" s="271">
        <v>431931</v>
      </c>
      <c r="D143" s="271">
        <v>4629</v>
      </c>
      <c r="E143" s="271">
        <v>3861</v>
      </c>
      <c r="F143" s="271">
        <v>80825</v>
      </c>
      <c r="G143" s="271">
        <v>35240</v>
      </c>
      <c r="H143" s="271">
        <v>124555</v>
      </c>
      <c r="I143" s="271"/>
      <c r="J143" s="271">
        <v>45117</v>
      </c>
      <c r="K143" s="271">
        <v>273904</v>
      </c>
      <c r="L143" s="148">
        <v>134584</v>
      </c>
      <c r="M143" s="271">
        <v>453605</v>
      </c>
      <c r="N143" s="69"/>
      <c r="O143" s="69">
        <v>-87923</v>
      </c>
      <c r="P143" s="69">
        <v>-1353</v>
      </c>
      <c r="Q143" s="69">
        <v>-89276</v>
      </c>
    </row>
    <row r="144" spans="1:17" ht="12" customHeight="1">
      <c r="A144" s="51">
        <v>12037</v>
      </c>
      <c r="B144" s="55" t="s">
        <v>132</v>
      </c>
      <c r="C144" s="272">
        <v>3438229</v>
      </c>
      <c r="D144" s="272">
        <v>36848</v>
      </c>
      <c r="E144" s="272">
        <v>30734</v>
      </c>
      <c r="F144" s="272">
        <v>643379</v>
      </c>
      <c r="G144" s="147">
        <v>19104</v>
      </c>
      <c r="H144" s="272">
        <v>730065</v>
      </c>
      <c r="I144" s="272"/>
      <c r="J144" s="272">
        <v>359138</v>
      </c>
      <c r="K144" s="272">
        <v>2180308</v>
      </c>
      <c r="L144" s="147">
        <v>245081</v>
      </c>
      <c r="M144" s="272">
        <v>2784527</v>
      </c>
      <c r="N144" s="273"/>
      <c r="O144" s="273">
        <v>-699874</v>
      </c>
      <c r="P144" s="273">
        <v>-196394</v>
      </c>
      <c r="Q144" s="273">
        <v>-896268</v>
      </c>
    </row>
    <row r="145" spans="1:17" ht="12" customHeight="1">
      <c r="A145" s="53">
        <v>3150</v>
      </c>
      <c r="B145" s="54" t="s">
        <v>133</v>
      </c>
      <c r="C145" s="271">
        <v>7727513</v>
      </c>
      <c r="D145" s="271">
        <v>82816</v>
      </c>
      <c r="E145" s="271">
        <v>69076</v>
      </c>
      <c r="F145" s="271">
        <v>1446011</v>
      </c>
      <c r="G145" s="271">
        <v>2117727</v>
      </c>
      <c r="H145" s="271">
        <v>3715630</v>
      </c>
      <c r="I145" s="271"/>
      <c r="J145" s="271">
        <v>807173</v>
      </c>
      <c r="K145" s="271">
        <v>4900301</v>
      </c>
      <c r="L145" s="271">
        <v>1047376</v>
      </c>
      <c r="M145" s="271">
        <v>6754850</v>
      </c>
      <c r="N145" s="69"/>
      <c r="O145" s="69">
        <v>-1572987</v>
      </c>
      <c r="P145" s="69">
        <v>424007</v>
      </c>
      <c r="Q145" s="69">
        <v>-1148980</v>
      </c>
    </row>
    <row r="146" spans="1:17" ht="12" customHeight="1">
      <c r="A146" s="51">
        <v>3160</v>
      </c>
      <c r="B146" s="55" t="s">
        <v>134</v>
      </c>
      <c r="C146" s="272">
        <v>1653551</v>
      </c>
      <c r="D146" s="272">
        <v>17721</v>
      </c>
      <c r="E146" s="272">
        <v>14781</v>
      </c>
      <c r="F146" s="272">
        <v>309421</v>
      </c>
      <c r="G146" s="272">
        <v>130795</v>
      </c>
      <c r="H146" s="272">
        <v>472718</v>
      </c>
      <c r="I146" s="272"/>
      <c r="J146" s="272">
        <v>172721</v>
      </c>
      <c r="K146" s="272">
        <v>1048578</v>
      </c>
      <c r="L146" s="272">
        <v>278211</v>
      </c>
      <c r="M146" s="272">
        <v>1499510</v>
      </c>
      <c r="N146" s="273"/>
      <c r="O146" s="273">
        <v>-336591</v>
      </c>
      <c r="P146" s="273">
        <v>-71556</v>
      </c>
      <c r="Q146" s="273">
        <v>-408147</v>
      </c>
    </row>
    <row r="147" spans="1:17" ht="12" customHeight="1">
      <c r="A147" s="53">
        <v>10120</v>
      </c>
      <c r="B147" s="54" t="s">
        <v>135</v>
      </c>
      <c r="C147" s="271">
        <v>807009</v>
      </c>
      <c r="D147" s="271">
        <v>8649</v>
      </c>
      <c r="E147" s="271">
        <v>7214</v>
      </c>
      <c r="F147" s="271">
        <v>151012</v>
      </c>
      <c r="G147" s="271">
        <v>42762</v>
      </c>
      <c r="H147" s="271">
        <v>209637</v>
      </c>
      <c r="I147" s="271"/>
      <c r="J147" s="271">
        <v>84296</v>
      </c>
      <c r="K147" s="271">
        <v>511754</v>
      </c>
      <c r="L147" s="271">
        <v>101012</v>
      </c>
      <c r="M147" s="271">
        <v>697062</v>
      </c>
      <c r="N147" s="69"/>
      <c r="O147" s="69">
        <v>-164272</v>
      </c>
      <c r="P147" s="69">
        <v>-28347</v>
      </c>
      <c r="Q147" s="69">
        <v>-192619</v>
      </c>
    </row>
    <row r="148" spans="1:17" ht="12" customHeight="1">
      <c r="A148" s="51">
        <v>23070</v>
      </c>
      <c r="B148" s="55" t="s">
        <v>136</v>
      </c>
      <c r="C148" s="272">
        <v>1195891</v>
      </c>
      <c r="D148" s="272">
        <v>12816</v>
      </c>
      <c r="E148" s="272">
        <v>10690</v>
      </c>
      <c r="F148" s="272">
        <v>223781</v>
      </c>
      <c r="G148" s="272">
        <v>23611</v>
      </c>
      <c r="H148" s="272">
        <v>270898</v>
      </c>
      <c r="I148" s="272"/>
      <c r="J148" s="272">
        <v>124916</v>
      </c>
      <c r="K148" s="272">
        <v>758358</v>
      </c>
      <c r="L148" s="272">
        <v>303532</v>
      </c>
      <c r="M148" s="272">
        <v>1186806</v>
      </c>
      <c r="N148" s="273"/>
      <c r="O148" s="273">
        <v>-243431</v>
      </c>
      <c r="P148" s="273">
        <v>-31170</v>
      </c>
      <c r="Q148" s="273">
        <v>-274601</v>
      </c>
    </row>
    <row r="149" spans="1:17" ht="12" customHeight="1">
      <c r="A149" s="53">
        <v>3170</v>
      </c>
      <c r="B149" s="54" t="s">
        <v>137</v>
      </c>
      <c r="C149" s="271">
        <v>17807330</v>
      </c>
      <c r="D149" s="271">
        <v>190842</v>
      </c>
      <c r="E149" s="271">
        <v>159180</v>
      </c>
      <c r="F149" s="271">
        <v>3332197</v>
      </c>
      <c r="G149" s="271">
        <v>2896908</v>
      </c>
      <c r="H149" s="271">
        <v>6579127</v>
      </c>
      <c r="I149" s="271"/>
      <c r="J149" s="271">
        <v>1860054</v>
      </c>
      <c r="K149" s="271">
        <v>11292286</v>
      </c>
      <c r="L149" s="148">
        <v>1215577</v>
      </c>
      <c r="M149" s="271">
        <v>14367917</v>
      </c>
      <c r="N149" s="69"/>
      <c r="O149" s="69">
        <v>-3624800</v>
      </c>
      <c r="P149" s="69">
        <v>-365995</v>
      </c>
      <c r="Q149" s="69">
        <v>-3990795</v>
      </c>
    </row>
    <row r="150" spans="1:17" ht="12" customHeight="1">
      <c r="A150" s="51">
        <v>32093</v>
      </c>
      <c r="B150" s="55" t="s">
        <v>138</v>
      </c>
      <c r="C150" s="272">
        <v>10834050</v>
      </c>
      <c r="D150" s="272">
        <v>116109</v>
      </c>
      <c r="E150" s="272">
        <v>96846</v>
      </c>
      <c r="F150" s="272">
        <v>2027322</v>
      </c>
      <c r="G150" s="272">
        <v>368930</v>
      </c>
      <c r="H150" s="272">
        <v>2609207</v>
      </c>
      <c r="I150" s="272"/>
      <c r="J150" s="272">
        <v>1131664</v>
      </c>
      <c r="K150" s="272">
        <v>6870272</v>
      </c>
      <c r="L150" s="147">
        <v>131068</v>
      </c>
      <c r="M150" s="272">
        <v>8133004</v>
      </c>
      <c r="N150" s="273"/>
      <c r="O150" s="273">
        <v>-2205343</v>
      </c>
      <c r="P150" s="273">
        <v>273492</v>
      </c>
      <c r="Q150" s="273">
        <v>-1931851</v>
      </c>
    </row>
    <row r="151" spans="1:17" ht="12" customHeight="1">
      <c r="A151" s="53">
        <v>14045</v>
      </c>
      <c r="B151" s="54" t="s">
        <v>139</v>
      </c>
      <c r="C151" s="271">
        <v>20435775</v>
      </c>
      <c r="D151" s="271">
        <v>219011</v>
      </c>
      <c r="E151" s="271">
        <v>182676</v>
      </c>
      <c r="F151" s="271">
        <v>3824045</v>
      </c>
      <c r="G151" s="271">
        <v>2779550</v>
      </c>
      <c r="H151" s="271">
        <v>7005282</v>
      </c>
      <c r="I151" s="271"/>
      <c r="J151" s="271">
        <v>2134606</v>
      </c>
      <c r="K151" s="271">
        <v>12959080</v>
      </c>
      <c r="L151" s="148">
        <v>88436</v>
      </c>
      <c r="M151" s="271">
        <v>15182122</v>
      </c>
      <c r="N151" s="69"/>
      <c r="O151" s="69">
        <v>-4159838</v>
      </c>
      <c r="P151" s="69">
        <v>1074465</v>
      </c>
      <c r="Q151" s="69">
        <v>-3085373</v>
      </c>
    </row>
    <row r="152" spans="1:17" ht="12" customHeight="1">
      <c r="A152" s="51">
        <v>2322</v>
      </c>
      <c r="B152" s="55" t="s">
        <v>140</v>
      </c>
      <c r="C152" s="272">
        <v>365773</v>
      </c>
      <c r="D152" s="272">
        <v>3920</v>
      </c>
      <c r="E152" s="272">
        <v>3270</v>
      </c>
      <c r="F152" s="272">
        <v>68445</v>
      </c>
      <c r="G152" s="272">
        <v>84327</v>
      </c>
      <c r="H152" s="272">
        <v>159962</v>
      </c>
      <c r="I152" s="272"/>
      <c r="J152" s="272">
        <v>38207</v>
      </c>
      <c r="K152" s="272">
        <v>231950</v>
      </c>
      <c r="L152" s="147">
        <v>243108</v>
      </c>
      <c r="M152" s="272">
        <v>513265</v>
      </c>
      <c r="N152" s="273"/>
      <c r="O152" s="273">
        <v>-74455</v>
      </c>
      <c r="P152" s="273">
        <v>-41023</v>
      </c>
      <c r="Q152" s="273">
        <v>-115478</v>
      </c>
    </row>
    <row r="153" spans="1:17" ht="12" customHeight="1">
      <c r="A153" s="53">
        <v>3006</v>
      </c>
      <c r="B153" s="54" t="s">
        <v>141</v>
      </c>
      <c r="C153" s="271">
        <v>1601028</v>
      </c>
      <c r="D153" s="271">
        <v>17158</v>
      </c>
      <c r="E153" s="271">
        <v>14312</v>
      </c>
      <c r="F153" s="271">
        <v>299592</v>
      </c>
      <c r="G153" s="271">
        <v>416627</v>
      </c>
      <c r="H153" s="271">
        <v>747689</v>
      </c>
      <c r="I153" s="271"/>
      <c r="J153" s="271">
        <v>167234</v>
      </c>
      <c r="K153" s="271">
        <v>1015271</v>
      </c>
      <c r="L153" s="148">
        <v>170193</v>
      </c>
      <c r="M153" s="271">
        <v>1352698</v>
      </c>
      <c r="N153" s="69"/>
      <c r="O153" s="69">
        <v>-325900</v>
      </c>
      <c r="P153" s="69">
        <v>130879</v>
      </c>
      <c r="Q153" s="69">
        <v>-195021</v>
      </c>
    </row>
    <row r="154" spans="1:17" ht="12" customHeight="1">
      <c r="A154" s="51">
        <v>6019</v>
      </c>
      <c r="B154" s="52" t="s">
        <v>142</v>
      </c>
      <c r="C154" s="115">
        <v>8566235</v>
      </c>
      <c r="D154" s="115">
        <v>91805</v>
      </c>
      <c r="E154" s="115">
        <v>76574</v>
      </c>
      <c r="F154" s="115">
        <v>1602957</v>
      </c>
      <c r="G154" s="115">
        <v>1804333</v>
      </c>
      <c r="H154" s="115">
        <v>3575669</v>
      </c>
      <c r="I154" s="115"/>
      <c r="J154" s="115">
        <v>894781</v>
      </c>
      <c r="K154" s="115">
        <v>5432166</v>
      </c>
      <c r="L154" s="117">
        <v>935812</v>
      </c>
      <c r="M154" s="115">
        <v>7262759</v>
      </c>
      <c r="N154" s="116"/>
      <c r="O154" s="116">
        <v>-1743714</v>
      </c>
      <c r="P154" s="116">
        <v>410990</v>
      </c>
      <c r="Q154" s="116">
        <v>-1332724</v>
      </c>
    </row>
    <row r="155" spans="1:17" ht="12" customHeight="1">
      <c r="A155" s="53">
        <v>12128</v>
      </c>
      <c r="B155" s="54" t="s">
        <v>143</v>
      </c>
      <c r="C155" s="271">
        <v>1651505</v>
      </c>
      <c r="D155" s="271">
        <v>17699</v>
      </c>
      <c r="E155" s="271">
        <v>14763</v>
      </c>
      <c r="F155" s="271">
        <v>309038</v>
      </c>
      <c r="G155" s="271">
        <v>0</v>
      </c>
      <c r="H155" s="271">
        <v>341500</v>
      </c>
      <c r="I155" s="271"/>
      <c r="J155" s="271">
        <v>172507</v>
      </c>
      <c r="K155" s="271">
        <v>1047281</v>
      </c>
      <c r="L155" s="271">
        <v>797866</v>
      </c>
      <c r="M155" s="271">
        <v>2017654</v>
      </c>
      <c r="N155" s="69"/>
      <c r="O155" s="69">
        <v>-336175</v>
      </c>
      <c r="P155" s="69">
        <v>-285862</v>
      </c>
      <c r="Q155" s="69">
        <v>-622037</v>
      </c>
    </row>
    <row r="156" spans="1:17" ht="12" customHeight="1">
      <c r="A156" s="51">
        <v>3180</v>
      </c>
      <c r="B156" s="55" t="s">
        <v>144</v>
      </c>
      <c r="C156" s="272">
        <v>3063263</v>
      </c>
      <c r="D156" s="272">
        <v>32829</v>
      </c>
      <c r="E156" s="272">
        <v>27383</v>
      </c>
      <c r="F156" s="272">
        <v>573213</v>
      </c>
      <c r="G156" s="272">
        <v>161434</v>
      </c>
      <c r="H156" s="272">
        <v>794859</v>
      </c>
      <c r="I156" s="272"/>
      <c r="J156" s="272">
        <v>319971</v>
      </c>
      <c r="K156" s="272">
        <v>1942529</v>
      </c>
      <c r="L156" s="272">
        <v>476613</v>
      </c>
      <c r="M156" s="272">
        <v>2739113</v>
      </c>
      <c r="N156" s="273"/>
      <c r="O156" s="273">
        <v>-623548</v>
      </c>
      <c r="P156" s="273">
        <v>-149988</v>
      </c>
      <c r="Q156" s="273">
        <v>-773536</v>
      </c>
    </row>
    <row r="157" spans="1:17" ht="12" customHeight="1">
      <c r="A157" s="53">
        <v>25075</v>
      </c>
      <c r="B157" s="54" t="s">
        <v>145</v>
      </c>
      <c r="C157" s="271">
        <v>1340610</v>
      </c>
      <c r="D157" s="271">
        <v>14367</v>
      </c>
      <c r="E157" s="271">
        <v>11984</v>
      </c>
      <c r="F157" s="271">
        <v>250862</v>
      </c>
      <c r="G157" s="271">
        <v>217044</v>
      </c>
      <c r="H157" s="271">
        <v>494257</v>
      </c>
      <c r="I157" s="271"/>
      <c r="J157" s="271">
        <v>140033</v>
      </c>
      <c r="K157" s="271">
        <v>850131</v>
      </c>
      <c r="L157" s="271">
        <v>148861</v>
      </c>
      <c r="M157" s="271">
        <v>1139025</v>
      </c>
      <c r="N157" s="69"/>
      <c r="O157" s="69">
        <v>-272890</v>
      </c>
      <c r="P157" s="69">
        <v>64435</v>
      </c>
      <c r="Q157" s="69">
        <v>-208455</v>
      </c>
    </row>
    <row r="158" spans="1:17" ht="12" customHeight="1">
      <c r="A158" s="51">
        <v>2311</v>
      </c>
      <c r="B158" s="55" t="s">
        <v>411</v>
      </c>
      <c r="C158" s="272">
        <v>552253</v>
      </c>
      <c r="D158" s="272">
        <v>5919</v>
      </c>
      <c r="E158" s="272">
        <v>4937</v>
      </c>
      <c r="F158" s="272">
        <v>103340</v>
      </c>
      <c r="G158" s="272">
        <v>134522</v>
      </c>
      <c r="H158" s="272">
        <v>248718</v>
      </c>
      <c r="I158" s="272"/>
      <c r="J158" s="272">
        <v>57685</v>
      </c>
      <c r="K158" s="272">
        <v>350204</v>
      </c>
      <c r="L158" s="272">
        <v>51153</v>
      </c>
      <c r="M158" s="272">
        <v>459042</v>
      </c>
      <c r="N158" s="273"/>
      <c r="O158" s="273">
        <v>-112415</v>
      </c>
      <c r="P158" s="273">
        <v>42529</v>
      </c>
      <c r="Q158" s="273">
        <v>-69886</v>
      </c>
    </row>
    <row r="159" spans="1:17" ht="12" customHeight="1">
      <c r="A159" s="53">
        <v>9028</v>
      </c>
      <c r="B159" s="54" t="s">
        <v>146</v>
      </c>
      <c r="C159" s="271">
        <v>454255</v>
      </c>
      <c r="D159" s="271">
        <v>4868</v>
      </c>
      <c r="E159" s="271">
        <v>4061</v>
      </c>
      <c r="F159" s="271">
        <v>85003</v>
      </c>
      <c r="G159" s="271">
        <v>12919</v>
      </c>
      <c r="H159" s="271">
        <v>106851</v>
      </c>
      <c r="I159" s="271"/>
      <c r="J159" s="271">
        <v>47449</v>
      </c>
      <c r="K159" s="271">
        <v>288060</v>
      </c>
      <c r="L159" s="148">
        <v>116498</v>
      </c>
      <c r="M159" s="271">
        <v>452007</v>
      </c>
      <c r="N159" s="69"/>
      <c r="O159" s="69">
        <v>-92467</v>
      </c>
      <c r="P159" s="69">
        <v>-29454</v>
      </c>
      <c r="Q159" s="69">
        <v>-121921</v>
      </c>
    </row>
    <row r="160" spans="1:17" ht="12" customHeight="1">
      <c r="A160" s="51">
        <v>17424</v>
      </c>
      <c r="B160" s="55" t="s">
        <v>147</v>
      </c>
      <c r="C160" s="272">
        <v>971334</v>
      </c>
      <c r="D160" s="272">
        <v>10410</v>
      </c>
      <c r="E160" s="272">
        <v>8683</v>
      </c>
      <c r="F160" s="272">
        <v>181761</v>
      </c>
      <c r="G160" s="147">
        <v>173801</v>
      </c>
      <c r="H160" s="272">
        <v>374655</v>
      </c>
      <c r="I160" s="272"/>
      <c r="J160" s="272">
        <v>101460</v>
      </c>
      <c r="K160" s="272">
        <v>615959</v>
      </c>
      <c r="L160" s="272">
        <v>51387</v>
      </c>
      <c r="M160" s="272">
        <v>768806</v>
      </c>
      <c r="N160" s="273"/>
      <c r="O160" s="273">
        <v>-197722</v>
      </c>
      <c r="P160" s="273">
        <v>67085</v>
      </c>
      <c r="Q160" s="273">
        <v>-130637</v>
      </c>
    </row>
    <row r="161" spans="1:17" ht="12" customHeight="1">
      <c r="A161" s="53">
        <v>3200</v>
      </c>
      <c r="B161" s="54" t="s">
        <v>148</v>
      </c>
      <c r="C161" s="271">
        <v>3176803</v>
      </c>
      <c r="D161" s="271">
        <v>34046</v>
      </c>
      <c r="E161" s="271">
        <v>28398</v>
      </c>
      <c r="F161" s="271">
        <v>594459</v>
      </c>
      <c r="G161" s="271">
        <v>0</v>
      </c>
      <c r="H161" s="271">
        <v>656903</v>
      </c>
      <c r="I161" s="271"/>
      <c r="J161" s="271">
        <v>331831</v>
      </c>
      <c r="K161" s="271">
        <v>2014528</v>
      </c>
      <c r="L161" s="148">
        <v>893974</v>
      </c>
      <c r="M161" s="271">
        <v>3240333</v>
      </c>
      <c r="N161" s="69"/>
      <c r="O161" s="69">
        <v>-646659</v>
      </c>
      <c r="P161" s="69">
        <v>-361007</v>
      </c>
      <c r="Q161" s="69">
        <v>-1007666</v>
      </c>
    </row>
    <row r="162" spans="1:17" ht="12" customHeight="1">
      <c r="A162" s="51">
        <v>2365</v>
      </c>
      <c r="B162" s="55" t="s">
        <v>149</v>
      </c>
      <c r="C162" s="272">
        <v>377895</v>
      </c>
      <c r="D162" s="272">
        <v>4050</v>
      </c>
      <c r="E162" s="272">
        <v>3378</v>
      </c>
      <c r="F162" s="272">
        <v>70714</v>
      </c>
      <c r="G162" s="147">
        <v>0</v>
      </c>
      <c r="H162" s="272">
        <v>78142</v>
      </c>
      <c r="I162" s="272"/>
      <c r="J162" s="272">
        <v>39473</v>
      </c>
      <c r="K162" s="272">
        <v>239637</v>
      </c>
      <c r="L162" s="272">
        <v>350338</v>
      </c>
      <c r="M162" s="272">
        <v>629448</v>
      </c>
      <c r="N162" s="273"/>
      <c r="O162" s="273">
        <v>-76923</v>
      </c>
      <c r="P162" s="273">
        <v>-94052</v>
      </c>
      <c r="Q162" s="273">
        <v>-170975</v>
      </c>
    </row>
    <row r="163" spans="1:17" ht="12" customHeight="1">
      <c r="A163" s="53">
        <v>5014</v>
      </c>
      <c r="B163" s="54" t="s">
        <v>150</v>
      </c>
      <c r="C163" s="271">
        <v>685608</v>
      </c>
      <c r="D163" s="271">
        <v>7348</v>
      </c>
      <c r="E163" s="271">
        <v>6129</v>
      </c>
      <c r="F163" s="271">
        <v>128294</v>
      </c>
      <c r="G163" s="271">
        <v>33295</v>
      </c>
      <c r="H163" s="271">
        <v>175066</v>
      </c>
      <c r="I163" s="271"/>
      <c r="J163" s="271">
        <v>71615</v>
      </c>
      <c r="K163" s="271">
        <v>434770</v>
      </c>
      <c r="L163" s="148">
        <v>72026</v>
      </c>
      <c r="M163" s="271">
        <v>578411</v>
      </c>
      <c r="N163" s="69"/>
      <c r="O163" s="69">
        <v>-139560</v>
      </c>
      <c r="P163" s="69">
        <v>-3956</v>
      </c>
      <c r="Q163" s="69">
        <v>-143516</v>
      </c>
    </row>
    <row r="164" spans="1:17" ht="12" customHeight="1">
      <c r="A164" s="51">
        <v>17127</v>
      </c>
      <c r="B164" s="55" t="s">
        <v>151</v>
      </c>
      <c r="C164" s="272">
        <v>775198</v>
      </c>
      <c r="D164" s="272">
        <v>8308</v>
      </c>
      <c r="E164" s="272">
        <v>6930</v>
      </c>
      <c r="F164" s="272">
        <v>145059</v>
      </c>
      <c r="G164" s="272">
        <v>204554</v>
      </c>
      <c r="H164" s="272">
        <v>364851</v>
      </c>
      <c r="I164" s="272"/>
      <c r="J164" s="272">
        <v>80973</v>
      </c>
      <c r="K164" s="272">
        <v>491582</v>
      </c>
      <c r="L164" s="272">
        <v>132708</v>
      </c>
      <c r="M164" s="272">
        <v>705263</v>
      </c>
      <c r="N164" s="273"/>
      <c r="O164" s="273">
        <v>-157797</v>
      </c>
      <c r="P164" s="273">
        <v>-70641</v>
      </c>
      <c r="Q164" s="273">
        <v>-228438</v>
      </c>
    </row>
    <row r="165" spans="1:17" ht="12" customHeight="1">
      <c r="A165" s="53">
        <v>10141</v>
      </c>
      <c r="B165" s="54" t="s">
        <v>152</v>
      </c>
      <c r="C165" s="271">
        <v>997148</v>
      </c>
      <c r="D165" s="271">
        <v>10686</v>
      </c>
      <c r="E165" s="271">
        <v>8914</v>
      </c>
      <c r="F165" s="271">
        <v>186591</v>
      </c>
      <c r="G165" s="271">
        <v>816916</v>
      </c>
      <c r="H165" s="271">
        <v>1023107</v>
      </c>
      <c r="I165" s="271"/>
      <c r="J165" s="271">
        <v>104156</v>
      </c>
      <c r="K165" s="271">
        <v>632328</v>
      </c>
      <c r="L165" s="271">
        <v>1206628</v>
      </c>
      <c r="M165" s="271">
        <v>1943112</v>
      </c>
      <c r="N165" s="69"/>
      <c r="O165" s="69">
        <v>-202976</v>
      </c>
      <c r="P165" s="69">
        <v>-64814</v>
      </c>
      <c r="Q165" s="69">
        <v>-267790</v>
      </c>
    </row>
    <row r="166" spans="1:17" ht="12" customHeight="1">
      <c r="A166" s="51">
        <v>4570</v>
      </c>
      <c r="B166" s="55" t="s">
        <v>395</v>
      </c>
      <c r="C166" s="272">
        <v>2708085</v>
      </c>
      <c r="D166" s="272">
        <v>29023</v>
      </c>
      <c r="E166" s="272">
        <v>24208</v>
      </c>
      <c r="F166" s="272">
        <v>506751</v>
      </c>
      <c r="G166" s="272">
        <v>401568</v>
      </c>
      <c r="H166" s="272">
        <v>961550</v>
      </c>
      <c r="I166" s="272"/>
      <c r="J166" s="272">
        <v>282871</v>
      </c>
      <c r="K166" s="272">
        <v>1717297</v>
      </c>
      <c r="L166" s="147">
        <v>233776</v>
      </c>
      <c r="M166" s="272">
        <v>2233944</v>
      </c>
      <c r="N166" s="273"/>
      <c r="O166" s="273">
        <v>-551249</v>
      </c>
      <c r="P166" s="273">
        <v>944694</v>
      </c>
      <c r="Q166" s="273">
        <v>393445</v>
      </c>
    </row>
    <row r="167" spans="1:17" ht="12" customHeight="1">
      <c r="A167" s="53">
        <v>13369</v>
      </c>
      <c r="B167" s="54" t="s">
        <v>153</v>
      </c>
      <c r="C167" s="271">
        <v>253074</v>
      </c>
      <c r="D167" s="271">
        <v>2712</v>
      </c>
      <c r="E167" s="271">
        <v>2262</v>
      </c>
      <c r="F167" s="271">
        <v>47357</v>
      </c>
      <c r="G167" s="271">
        <v>41264</v>
      </c>
      <c r="H167" s="271">
        <v>93595</v>
      </c>
      <c r="I167" s="271"/>
      <c r="J167" s="271">
        <v>26435</v>
      </c>
      <c r="K167" s="271">
        <v>160484</v>
      </c>
      <c r="L167" s="271">
        <v>33896</v>
      </c>
      <c r="M167" s="271">
        <v>220815</v>
      </c>
      <c r="N167" s="69"/>
      <c r="O167" s="69">
        <v>-51515</v>
      </c>
      <c r="P167" s="69">
        <v>9520</v>
      </c>
      <c r="Q167" s="69">
        <v>-41995</v>
      </c>
    </row>
    <row r="168" spans="1:17" ht="12" customHeight="1">
      <c r="A168" s="51">
        <v>2425</v>
      </c>
      <c r="B168" s="55" t="s">
        <v>154</v>
      </c>
      <c r="C168" s="272">
        <v>4506440</v>
      </c>
      <c r="D168" s="272">
        <v>48296</v>
      </c>
      <c r="E168" s="272">
        <v>40283</v>
      </c>
      <c r="F168" s="272">
        <v>843268</v>
      </c>
      <c r="G168" s="272">
        <v>3743255</v>
      </c>
      <c r="H168" s="272">
        <v>4675102</v>
      </c>
      <c r="I168" s="272"/>
      <c r="J168" s="272">
        <v>470717</v>
      </c>
      <c r="K168" s="272">
        <v>2857700</v>
      </c>
      <c r="L168" s="272">
        <v>1401702</v>
      </c>
      <c r="M168" s="272">
        <v>4730119</v>
      </c>
      <c r="N168" s="273"/>
      <c r="O168" s="273">
        <v>-917316</v>
      </c>
      <c r="P168" s="273">
        <v>1347041</v>
      </c>
      <c r="Q168" s="273">
        <v>429725</v>
      </c>
    </row>
    <row r="169" spans="1:17" ht="12" customHeight="1">
      <c r="A169" s="53">
        <v>1306</v>
      </c>
      <c r="B169" s="54" t="s">
        <v>155</v>
      </c>
      <c r="C169" s="271">
        <v>763062</v>
      </c>
      <c r="D169" s="271">
        <v>8178</v>
      </c>
      <c r="E169" s="271">
        <v>6821</v>
      </c>
      <c r="F169" s="271">
        <v>142788</v>
      </c>
      <c r="G169" s="271">
        <v>139605</v>
      </c>
      <c r="H169" s="271">
        <v>297392</v>
      </c>
      <c r="I169" s="271"/>
      <c r="J169" s="271">
        <v>79705</v>
      </c>
      <c r="K169" s="271">
        <v>483886</v>
      </c>
      <c r="L169" s="271">
        <v>225669</v>
      </c>
      <c r="M169" s="271">
        <v>789260</v>
      </c>
      <c r="N169" s="69"/>
      <c r="O169" s="69">
        <v>-155326</v>
      </c>
      <c r="P169" s="69">
        <v>25299</v>
      </c>
      <c r="Q169" s="69">
        <v>-130027</v>
      </c>
    </row>
    <row r="170" spans="1:17" ht="12" customHeight="1">
      <c r="A170" s="51">
        <v>2351</v>
      </c>
      <c r="B170" s="55" t="s">
        <v>156</v>
      </c>
      <c r="C170" s="272">
        <v>838470</v>
      </c>
      <c r="D170" s="272">
        <v>8986</v>
      </c>
      <c r="E170" s="272">
        <v>7495</v>
      </c>
      <c r="F170" s="272">
        <v>156899</v>
      </c>
      <c r="G170" s="272">
        <v>289598</v>
      </c>
      <c r="H170" s="272">
        <v>462978</v>
      </c>
      <c r="I170" s="272"/>
      <c r="J170" s="272">
        <v>87582</v>
      </c>
      <c r="K170" s="272">
        <v>531705</v>
      </c>
      <c r="L170" s="147">
        <v>58830</v>
      </c>
      <c r="M170" s="272">
        <v>678117</v>
      </c>
      <c r="N170" s="273"/>
      <c r="O170" s="273">
        <v>-170676</v>
      </c>
      <c r="P170" s="273">
        <v>86751</v>
      </c>
      <c r="Q170" s="273">
        <v>-83925</v>
      </c>
    </row>
    <row r="171" spans="1:17" ht="12" customHeight="1">
      <c r="A171" s="53">
        <v>2334</v>
      </c>
      <c r="B171" s="54" t="s">
        <v>157</v>
      </c>
      <c r="C171" s="271">
        <v>585312</v>
      </c>
      <c r="D171" s="271">
        <v>6273</v>
      </c>
      <c r="E171" s="271">
        <v>5232</v>
      </c>
      <c r="F171" s="271">
        <v>109527</v>
      </c>
      <c r="G171" s="271">
        <v>155284</v>
      </c>
      <c r="H171" s="271">
        <v>276316</v>
      </c>
      <c r="I171" s="271"/>
      <c r="J171" s="271">
        <v>61138</v>
      </c>
      <c r="K171" s="271">
        <v>371168</v>
      </c>
      <c r="L171" s="271">
        <v>33996</v>
      </c>
      <c r="M171" s="271">
        <v>466302</v>
      </c>
      <c r="N171" s="69"/>
      <c r="O171" s="69">
        <v>-119144</v>
      </c>
      <c r="P171" s="69">
        <v>51438</v>
      </c>
      <c r="Q171" s="69">
        <v>-67706</v>
      </c>
    </row>
    <row r="172" spans="1:17" ht="12" customHeight="1">
      <c r="A172" s="51">
        <v>30089</v>
      </c>
      <c r="B172" s="55" t="s">
        <v>158</v>
      </c>
      <c r="C172" s="272">
        <v>1467729</v>
      </c>
      <c r="D172" s="272">
        <v>15730</v>
      </c>
      <c r="E172" s="272">
        <v>13120</v>
      </c>
      <c r="F172" s="272">
        <v>274649</v>
      </c>
      <c r="G172" s="272">
        <v>271527</v>
      </c>
      <c r="H172" s="272">
        <v>575026</v>
      </c>
      <c r="I172" s="272"/>
      <c r="J172" s="272">
        <v>153311</v>
      </c>
      <c r="K172" s="272">
        <v>930741</v>
      </c>
      <c r="L172" s="147">
        <v>394372</v>
      </c>
      <c r="M172" s="272">
        <v>1478424</v>
      </c>
      <c r="N172" s="273"/>
      <c r="O172" s="273">
        <v>-298766</v>
      </c>
      <c r="P172" s="273">
        <v>-29162</v>
      </c>
      <c r="Q172" s="273">
        <v>-327928</v>
      </c>
    </row>
    <row r="173" spans="1:17" ht="12" customHeight="1">
      <c r="A173" s="53">
        <v>9324</v>
      </c>
      <c r="B173" s="54" t="s">
        <v>159</v>
      </c>
      <c r="C173" s="271">
        <v>176909</v>
      </c>
      <c r="D173" s="271">
        <v>1896</v>
      </c>
      <c r="E173" s="271">
        <v>1581</v>
      </c>
      <c r="F173" s="271">
        <v>33104</v>
      </c>
      <c r="G173" s="148">
        <v>80463</v>
      </c>
      <c r="H173" s="271">
        <v>117044</v>
      </c>
      <c r="I173" s="271"/>
      <c r="J173" s="271">
        <v>18479</v>
      </c>
      <c r="K173" s="271">
        <v>112185</v>
      </c>
      <c r="L173" s="271">
        <v>108965</v>
      </c>
      <c r="M173" s="271">
        <v>239629</v>
      </c>
      <c r="N173" s="69"/>
      <c r="O173" s="69">
        <v>-36011</v>
      </c>
      <c r="P173" s="69">
        <v>14237</v>
      </c>
      <c r="Q173" s="69">
        <v>-21774</v>
      </c>
    </row>
    <row r="174" spans="1:17" ht="12" customHeight="1">
      <c r="A174" s="51">
        <v>22066</v>
      </c>
      <c r="B174" s="55" t="s">
        <v>160</v>
      </c>
      <c r="C174" s="272">
        <v>6248713</v>
      </c>
      <c r="D174" s="272">
        <v>66968</v>
      </c>
      <c r="E174" s="272">
        <v>55857</v>
      </c>
      <c r="F174" s="272">
        <v>1169291</v>
      </c>
      <c r="G174" s="272">
        <v>1210728</v>
      </c>
      <c r="H174" s="272">
        <v>2502844</v>
      </c>
      <c r="I174" s="272"/>
      <c r="J174" s="272">
        <v>652705</v>
      </c>
      <c r="K174" s="272">
        <v>3962540</v>
      </c>
      <c r="L174" s="147">
        <v>120647</v>
      </c>
      <c r="M174" s="272">
        <v>4735892</v>
      </c>
      <c r="N174" s="273"/>
      <c r="O174" s="273">
        <v>-1271967</v>
      </c>
      <c r="P174" s="273">
        <v>270851</v>
      </c>
      <c r="Q174" s="273">
        <v>-1001116</v>
      </c>
    </row>
    <row r="175" spans="1:17" ht="12" customHeight="1">
      <c r="A175" s="53">
        <v>16356</v>
      </c>
      <c r="B175" s="54" t="s">
        <v>161</v>
      </c>
      <c r="C175" s="271">
        <v>387003</v>
      </c>
      <c r="D175" s="271">
        <v>4148</v>
      </c>
      <c r="E175" s="271">
        <v>3459</v>
      </c>
      <c r="F175" s="271">
        <v>72418</v>
      </c>
      <c r="G175" s="148">
        <v>92073</v>
      </c>
      <c r="H175" s="271">
        <v>172098</v>
      </c>
      <c r="I175" s="271"/>
      <c r="J175" s="271">
        <v>40424</v>
      </c>
      <c r="K175" s="271">
        <v>245413</v>
      </c>
      <c r="L175" s="271">
        <v>10834</v>
      </c>
      <c r="M175" s="271">
        <v>296671</v>
      </c>
      <c r="N175" s="69"/>
      <c r="O175" s="69">
        <v>-78777</v>
      </c>
      <c r="P175" s="69">
        <v>22135</v>
      </c>
      <c r="Q175" s="69">
        <v>-56642</v>
      </c>
    </row>
    <row r="176" spans="1:17" ht="12" customHeight="1">
      <c r="A176" s="51">
        <v>31091</v>
      </c>
      <c r="B176" s="55" t="s">
        <v>162</v>
      </c>
      <c r="C176" s="272">
        <v>364694</v>
      </c>
      <c r="D176" s="272">
        <v>3908</v>
      </c>
      <c r="E176" s="272">
        <v>3260</v>
      </c>
      <c r="F176" s="272">
        <v>68243</v>
      </c>
      <c r="G176" s="272">
        <v>138841</v>
      </c>
      <c r="H176" s="272">
        <v>214252</v>
      </c>
      <c r="I176" s="272"/>
      <c r="J176" s="272">
        <v>38094</v>
      </c>
      <c r="K176" s="272">
        <v>231266</v>
      </c>
      <c r="L176" s="147">
        <v>43787</v>
      </c>
      <c r="M176" s="272">
        <v>313147</v>
      </c>
      <c r="N176" s="273"/>
      <c r="O176" s="273">
        <v>-74236</v>
      </c>
      <c r="P176" s="273">
        <v>38717</v>
      </c>
      <c r="Q176" s="273">
        <v>-35519</v>
      </c>
    </row>
    <row r="177" spans="1:17" ht="12" customHeight="1">
      <c r="A177" s="53">
        <v>2342</v>
      </c>
      <c r="B177" s="54" t="s">
        <v>163</v>
      </c>
      <c r="C177" s="271">
        <v>590119</v>
      </c>
      <c r="D177" s="271">
        <v>6324</v>
      </c>
      <c r="E177" s="271">
        <v>5275</v>
      </c>
      <c r="F177" s="271">
        <v>110426</v>
      </c>
      <c r="G177" s="271">
        <v>252814</v>
      </c>
      <c r="H177" s="271">
        <v>374839</v>
      </c>
      <c r="I177" s="271"/>
      <c r="J177" s="271">
        <v>61640</v>
      </c>
      <c r="K177" s="271">
        <v>374216</v>
      </c>
      <c r="L177" s="271">
        <v>106548</v>
      </c>
      <c r="M177" s="271">
        <v>542404</v>
      </c>
      <c r="N177" s="69"/>
      <c r="O177" s="69">
        <v>-120123</v>
      </c>
      <c r="P177" s="69">
        <v>73088</v>
      </c>
      <c r="Q177" s="69">
        <v>-47035</v>
      </c>
    </row>
    <row r="178" spans="1:17" ht="12" customHeight="1">
      <c r="A178" s="51">
        <v>22067</v>
      </c>
      <c r="B178" s="55" t="s">
        <v>164</v>
      </c>
      <c r="C178" s="272">
        <v>845953</v>
      </c>
      <c r="D178" s="272">
        <v>9066</v>
      </c>
      <c r="E178" s="272">
        <v>7562</v>
      </c>
      <c r="F178" s="272">
        <v>158299</v>
      </c>
      <c r="G178" s="272">
        <v>308723</v>
      </c>
      <c r="H178" s="272">
        <v>483650</v>
      </c>
      <c r="I178" s="272"/>
      <c r="J178" s="272">
        <v>88364</v>
      </c>
      <c r="K178" s="272">
        <v>536450</v>
      </c>
      <c r="L178" s="272">
        <v>241324</v>
      </c>
      <c r="M178" s="272">
        <v>866138</v>
      </c>
      <c r="N178" s="273"/>
      <c r="O178" s="273">
        <v>-172199</v>
      </c>
      <c r="P178" s="273">
        <v>47596</v>
      </c>
      <c r="Q178" s="273">
        <v>-124603</v>
      </c>
    </row>
    <row r="179" spans="1:17" ht="12" customHeight="1">
      <c r="A179" s="53">
        <v>25616</v>
      </c>
      <c r="B179" s="54" t="s">
        <v>165</v>
      </c>
      <c r="C179" s="271">
        <v>326969</v>
      </c>
      <c r="D179" s="271">
        <v>3504</v>
      </c>
      <c r="E179" s="271">
        <v>2923</v>
      </c>
      <c r="F179" s="271">
        <v>61184</v>
      </c>
      <c r="G179" s="271">
        <v>20364</v>
      </c>
      <c r="H179" s="271">
        <v>87975</v>
      </c>
      <c r="I179" s="271"/>
      <c r="J179" s="271">
        <v>34153</v>
      </c>
      <c r="K179" s="271">
        <v>207343</v>
      </c>
      <c r="L179" s="271">
        <v>203166</v>
      </c>
      <c r="M179" s="271">
        <v>444662</v>
      </c>
      <c r="N179" s="69"/>
      <c r="O179" s="69">
        <v>-66557</v>
      </c>
      <c r="P179" s="69">
        <v>-50925</v>
      </c>
      <c r="Q179" s="69">
        <v>-117482</v>
      </c>
    </row>
    <row r="180" spans="1:17" ht="12" customHeight="1">
      <c r="A180" s="51">
        <v>2354</v>
      </c>
      <c r="B180" s="55" t="s">
        <v>166</v>
      </c>
      <c r="C180" s="272">
        <v>1317502</v>
      </c>
      <c r="D180" s="272">
        <v>14120</v>
      </c>
      <c r="E180" s="272">
        <v>11777</v>
      </c>
      <c r="F180" s="272">
        <v>246538</v>
      </c>
      <c r="G180" s="272">
        <v>228082</v>
      </c>
      <c r="H180" s="272">
        <v>500517</v>
      </c>
      <c r="I180" s="272"/>
      <c r="J180" s="272">
        <v>137619</v>
      </c>
      <c r="K180" s="272">
        <v>835477</v>
      </c>
      <c r="L180" s="272">
        <v>126659</v>
      </c>
      <c r="M180" s="272">
        <v>1099755</v>
      </c>
      <c r="N180" s="273"/>
      <c r="O180" s="273">
        <v>-268186</v>
      </c>
      <c r="P180" s="273">
        <v>46875</v>
      </c>
      <c r="Q180" s="273">
        <v>-221311</v>
      </c>
    </row>
    <row r="181" spans="1:17" ht="12" customHeight="1">
      <c r="A181" s="53">
        <v>2148</v>
      </c>
      <c r="B181" s="54" t="s">
        <v>167</v>
      </c>
      <c r="C181" s="271">
        <v>386359</v>
      </c>
      <c r="D181" s="271">
        <v>4141</v>
      </c>
      <c r="E181" s="271">
        <v>3454</v>
      </c>
      <c r="F181" s="271">
        <v>72297</v>
      </c>
      <c r="G181" s="271">
        <v>0</v>
      </c>
      <c r="H181" s="271">
        <v>79892</v>
      </c>
      <c r="I181" s="271"/>
      <c r="J181" s="271">
        <v>40357</v>
      </c>
      <c r="K181" s="271">
        <v>245004</v>
      </c>
      <c r="L181" s="148">
        <v>73075</v>
      </c>
      <c r="M181" s="271">
        <v>358436</v>
      </c>
      <c r="N181" s="69"/>
      <c r="O181" s="69">
        <v>-78646</v>
      </c>
      <c r="P181" s="69">
        <v>-24030</v>
      </c>
      <c r="Q181" s="69">
        <v>-102676</v>
      </c>
    </row>
    <row r="182" spans="1:17" ht="12" customHeight="1">
      <c r="A182" s="51">
        <v>1418</v>
      </c>
      <c r="B182" s="55" t="s">
        <v>168</v>
      </c>
      <c r="C182" s="272">
        <v>1769809</v>
      </c>
      <c r="D182" s="272">
        <v>18967</v>
      </c>
      <c r="E182" s="272">
        <v>15820</v>
      </c>
      <c r="F182" s="272">
        <v>331176</v>
      </c>
      <c r="G182" s="272">
        <v>687582</v>
      </c>
      <c r="H182" s="272">
        <v>1053545</v>
      </c>
      <c r="I182" s="272"/>
      <c r="J182" s="272">
        <v>184864</v>
      </c>
      <c r="K182" s="272">
        <v>1122301</v>
      </c>
      <c r="L182" s="147">
        <v>33297</v>
      </c>
      <c r="M182" s="272">
        <v>1340462</v>
      </c>
      <c r="N182" s="273"/>
      <c r="O182" s="273">
        <v>-360256</v>
      </c>
      <c r="P182" s="273">
        <v>231356</v>
      </c>
      <c r="Q182" s="273">
        <v>-128900</v>
      </c>
    </row>
    <row r="183" spans="1:17" ht="12" customHeight="1">
      <c r="A183" s="53">
        <v>12102</v>
      </c>
      <c r="B183" s="54" t="s">
        <v>169</v>
      </c>
      <c r="C183" s="271">
        <v>8845375</v>
      </c>
      <c r="D183" s="271">
        <v>94796</v>
      </c>
      <c r="E183" s="271">
        <v>79069</v>
      </c>
      <c r="F183" s="271">
        <v>1655191</v>
      </c>
      <c r="G183" s="271">
        <v>1165154</v>
      </c>
      <c r="H183" s="271">
        <v>2994210</v>
      </c>
      <c r="I183" s="271"/>
      <c r="J183" s="271">
        <v>923938</v>
      </c>
      <c r="K183" s="271">
        <v>5609179</v>
      </c>
      <c r="L183" s="271">
        <v>1887323</v>
      </c>
      <c r="M183" s="271">
        <v>8420440</v>
      </c>
      <c r="N183" s="69"/>
      <c r="O183" s="69">
        <v>-1800535</v>
      </c>
      <c r="P183" s="69">
        <v>-221510</v>
      </c>
      <c r="Q183" s="69">
        <v>-2022045</v>
      </c>
    </row>
    <row r="184" spans="1:17" ht="12" customHeight="1">
      <c r="A184" s="51">
        <v>2414</v>
      </c>
      <c r="B184" s="55" t="s">
        <v>170</v>
      </c>
      <c r="C184" s="272">
        <v>894049</v>
      </c>
      <c r="D184" s="272">
        <v>9582</v>
      </c>
      <c r="E184" s="272">
        <v>7992</v>
      </c>
      <c r="F184" s="272">
        <v>167299</v>
      </c>
      <c r="G184" s="272">
        <v>469869</v>
      </c>
      <c r="H184" s="272">
        <v>654742</v>
      </c>
      <c r="I184" s="272"/>
      <c r="J184" s="272">
        <v>93387</v>
      </c>
      <c r="K184" s="272">
        <v>566949</v>
      </c>
      <c r="L184" s="272">
        <v>69304</v>
      </c>
      <c r="M184" s="272">
        <v>729640</v>
      </c>
      <c r="N184" s="273"/>
      <c r="O184" s="273">
        <v>-181990</v>
      </c>
      <c r="P184" s="273">
        <v>249080</v>
      </c>
      <c r="Q184" s="273">
        <v>67090</v>
      </c>
    </row>
    <row r="185" spans="1:17" ht="12" customHeight="1">
      <c r="A185" s="53">
        <v>6124</v>
      </c>
      <c r="B185" s="54" t="s">
        <v>171</v>
      </c>
      <c r="C185" s="271">
        <v>5290565</v>
      </c>
      <c r="D185" s="271">
        <v>56699</v>
      </c>
      <c r="E185" s="271">
        <v>47293</v>
      </c>
      <c r="F185" s="271">
        <v>989997</v>
      </c>
      <c r="G185" s="271">
        <v>1392075</v>
      </c>
      <c r="H185" s="271">
        <v>2486064</v>
      </c>
      <c r="I185" s="271"/>
      <c r="J185" s="271">
        <v>552623</v>
      </c>
      <c r="K185" s="271">
        <v>3354943</v>
      </c>
      <c r="L185" s="271">
        <v>534423</v>
      </c>
      <c r="M185" s="271">
        <v>4441989</v>
      </c>
      <c r="N185" s="69"/>
      <c r="O185" s="69">
        <v>-1076930</v>
      </c>
      <c r="P185" s="69">
        <v>-145157</v>
      </c>
      <c r="Q185" s="69">
        <v>-1222087</v>
      </c>
    </row>
    <row r="186" spans="1:17" ht="12" customHeight="1">
      <c r="A186" s="51">
        <v>4097</v>
      </c>
      <c r="B186" s="55" t="s">
        <v>172</v>
      </c>
      <c r="C186" s="272">
        <v>5095130</v>
      </c>
      <c r="D186" s="272">
        <v>54605</v>
      </c>
      <c r="E186" s="272">
        <v>45546</v>
      </c>
      <c r="F186" s="272">
        <v>953426</v>
      </c>
      <c r="G186" s="272">
        <v>63761</v>
      </c>
      <c r="H186" s="272">
        <v>1117338</v>
      </c>
      <c r="I186" s="272"/>
      <c r="J186" s="272">
        <v>532209</v>
      </c>
      <c r="K186" s="272">
        <v>3231010</v>
      </c>
      <c r="L186" s="272">
        <v>514003</v>
      </c>
      <c r="M186" s="272">
        <v>4277222</v>
      </c>
      <c r="N186" s="273"/>
      <c r="O186" s="273">
        <v>-1037147</v>
      </c>
      <c r="P186" s="273">
        <v>-240038</v>
      </c>
      <c r="Q186" s="273">
        <v>-1277185</v>
      </c>
    </row>
    <row r="187" spans="1:17" ht="12" customHeight="1">
      <c r="A187" s="53">
        <v>1416</v>
      </c>
      <c r="B187" s="54" t="s">
        <v>173</v>
      </c>
      <c r="C187" s="271">
        <v>768289</v>
      </c>
      <c r="D187" s="271">
        <v>8234</v>
      </c>
      <c r="E187" s="271">
        <v>6868</v>
      </c>
      <c r="F187" s="271">
        <v>143766</v>
      </c>
      <c r="G187" s="271">
        <v>222055</v>
      </c>
      <c r="H187" s="271">
        <v>380923</v>
      </c>
      <c r="I187" s="271"/>
      <c r="J187" s="271">
        <v>80251</v>
      </c>
      <c r="K187" s="271">
        <v>487201</v>
      </c>
      <c r="L187" s="148">
        <v>0</v>
      </c>
      <c r="M187" s="271">
        <v>567452</v>
      </c>
      <c r="N187" s="69"/>
      <c r="O187" s="69">
        <v>-156390</v>
      </c>
      <c r="P187" s="69">
        <v>91209</v>
      </c>
      <c r="Q187" s="69">
        <v>-65181</v>
      </c>
    </row>
    <row r="188" spans="1:17" ht="12" customHeight="1">
      <c r="A188" s="51">
        <v>1094</v>
      </c>
      <c r="B188" s="55" t="s">
        <v>174</v>
      </c>
      <c r="C188" s="272">
        <v>3398360</v>
      </c>
      <c r="D188" s="272">
        <v>36420</v>
      </c>
      <c r="E188" s="272">
        <v>30378</v>
      </c>
      <c r="F188" s="272">
        <v>635918</v>
      </c>
      <c r="G188" s="272">
        <v>27435</v>
      </c>
      <c r="H188" s="272">
        <v>730151</v>
      </c>
      <c r="I188" s="272"/>
      <c r="J188" s="272">
        <v>354974</v>
      </c>
      <c r="K188" s="272">
        <v>2155026</v>
      </c>
      <c r="L188" s="147">
        <v>912718</v>
      </c>
      <c r="M188" s="272">
        <v>3422718</v>
      </c>
      <c r="N188" s="273"/>
      <c r="O188" s="273">
        <v>-691759</v>
      </c>
      <c r="P188" s="273">
        <v>-270785</v>
      </c>
      <c r="Q188" s="273">
        <v>-962544</v>
      </c>
    </row>
    <row r="189" spans="1:17" ht="12" customHeight="1">
      <c r="A189" s="53">
        <v>15104</v>
      </c>
      <c r="B189" s="54" t="s">
        <v>175</v>
      </c>
      <c r="C189" s="271">
        <v>3536213</v>
      </c>
      <c r="D189" s="271">
        <v>37898</v>
      </c>
      <c r="E189" s="271">
        <v>31610</v>
      </c>
      <c r="F189" s="271">
        <v>661714</v>
      </c>
      <c r="G189" s="271">
        <v>99080</v>
      </c>
      <c r="H189" s="271">
        <v>830302</v>
      </c>
      <c r="I189" s="271"/>
      <c r="J189" s="271">
        <v>369373</v>
      </c>
      <c r="K189" s="271">
        <v>2242443</v>
      </c>
      <c r="L189" s="271">
        <v>374550</v>
      </c>
      <c r="M189" s="271">
        <v>2986366</v>
      </c>
      <c r="N189" s="69"/>
      <c r="O189" s="69">
        <v>-719820</v>
      </c>
      <c r="P189" s="69">
        <v>-98656</v>
      </c>
      <c r="Q189" s="69">
        <v>-818476</v>
      </c>
    </row>
    <row r="190" spans="1:17" ht="12" customHeight="1">
      <c r="A190" s="51">
        <v>2520</v>
      </c>
      <c r="B190" s="55" t="s">
        <v>176</v>
      </c>
      <c r="C190" s="272">
        <v>629343</v>
      </c>
      <c r="D190" s="272">
        <v>6745</v>
      </c>
      <c r="E190" s="272">
        <v>5626</v>
      </c>
      <c r="F190" s="272">
        <v>117766</v>
      </c>
      <c r="G190" s="272">
        <v>246309</v>
      </c>
      <c r="H190" s="272">
        <v>376446</v>
      </c>
      <c r="I190" s="272"/>
      <c r="J190" s="272">
        <v>65738</v>
      </c>
      <c r="K190" s="272">
        <v>399090</v>
      </c>
      <c r="L190" s="272">
        <v>23132</v>
      </c>
      <c r="M190" s="272">
        <v>487960</v>
      </c>
      <c r="N190" s="273"/>
      <c r="O190" s="273">
        <v>-128107</v>
      </c>
      <c r="P190" s="273">
        <v>11747</v>
      </c>
      <c r="Q190" s="273">
        <v>-116360</v>
      </c>
    </row>
    <row r="191" spans="1:17" ht="12" customHeight="1">
      <c r="A191" s="53">
        <v>3450</v>
      </c>
      <c r="B191" s="54" t="s">
        <v>177</v>
      </c>
      <c r="C191" s="271">
        <v>1101522</v>
      </c>
      <c r="D191" s="271">
        <v>11805</v>
      </c>
      <c r="E191" s="271">
        <v>9847</v>
      </c>
      <c r="F191" s="271">
        <v>206122</v>
      </c>
      <c r="G191" s="271">
        <v>168221</v>
      </c>
      <c r="H191" s="271">
        <v>395995</v>
      </c>
      <c r="I191" s="271"/>
      <c r="J191" s="271">
        <v>115059</v>
      </c>
      <c r="K191" s="271">
        <v>698516</v>
      </c>
      <c r="L191" s="148">
        <v>40615</v>
      </c>
      <c r="M191" s="271">
        <v>854190</v>
      </c>
      <c r="N191" s="69"/>
      <c r="O191" s="69">
        <v>-224222</v>
      </c>
      <c r="P191" s="69">
        <v>10836</v>
      </c>
      <c r="Q191" s="69">
        <v>-213386</v>
      </c>
    </row>
    <row r="192" spans="1:17" ht="12" customHeight="1">
      <c r="A192" s="51">
        <v>4310</v>
      </c>
      <c r="B192" s="55" t="s">
        <v>178</v>
      </c>
      <c r="C192" s="272">
        <v>525459</v>
      </c>
      <c r="D192" s="272">
        <v>5631</v>
      </c>
      <c r="E192" s="272">
        <v>4697</v>
      </c>
      <c r="F192" s="272">
        <v>98327</v>
      </c>
      <c r="G192" s="147">
        <v>123579</v>
      </c>
      <c r="H192" s="272">
        <v>232234</v>
      </c>
      <c r="I192" s="272"/>
      <c r="J192" s="272">
        <v>54887</v>
      </c>
      <c r="K192" s="272">
        <v>333213</v>
      </c>
      <c r="L192" s="147">
        <v>218437</v>
      </c>
      <c r="M192" s="272">
        <v>606537</v>
      </c>
      <c r="N192" s="273"/>
      <c r="O192" s="273">
        <v>-106961</v>
      </c>
      <c r="P192" s="273">
        <v>-28666</v>
      </c>
      <c r="Q192" s="273">
        <v>-135627</v>
      </c>
    </row>
    <row r="193" spans="1:17" ht="12" customHeight="1">
      <c r="A193" s="53">
        <v>2328</v>
      </c>
      <c r="B193" s="54" t="s">
        <v>179</v>
      </c>
      <c r="C193" s="271">
        <v>770686</v>
      </c>
      <c r="D193" s="271">
        <v>8259</v>
      </c>
      <c r="E193" s="271">
        <v>6889</v>
      </c>
      <c r="F193" s="271">
        <v>144215</v>
      </c>
      <c r="G193" s="271">
        <v>89446</v>
      </c>
      <c r="H193" s="271">
        <v>248809</v>
      </c>
      <c r="I193" s="271"/>
      <c r="J193" s="271">
        <v>80501</v>
      </c>
      <c r="K193" s="271">
        <v>488720</v>
      </c>
      <c r="L193" s="271">
        <v>321249</v>
      </c>
      <c r="M193" s="271">
        <v>890470</v>
      </c>
      <c r="N193" s="69"/>
      <c r="O193" s="69">
        <v>-156878</v>
      </c>
      <c r="P193" s="69">
        <v>8335</v>
      </c>
      <c r="Q193" s="69">
        <v>-148543</v>
      </c>
    </row>
    <row r="194" spans="1:17" ht="12" customHeight="1">
      <c r="A194" s="51">
        <v>12151</v>
      </c>
      <c r="B194" s="55" t="s">
        <v>180</v>
      </c>
      <c r="C194" s="272">
        <v>360868</v>
      </c>
      <c r="D194" s="272">
        <v>3867</v>
      </c>
      <c r="E194" s="272">
        <v>3226</v>
      </c>
      <c r="F194" s="272">
        <v>67527</v>
      </c>
      <c r="G194" s="272">
        <v>122720</v>
      </c>
      <c r="H194" s="272">
        <v>197340</v>
      </c>
      <c r="I194" s="272"/>
      <c r="J194" s="272">
        <v>37694</v>
      </c>
      <c r="K194" s="272">
        <v>228840</v>
      </c>
      <c r="L194" s="272">
        <v>60816</v>
      </c>
      <c r="M194" s="272">
        <v>327350</v>
      </c>
      <c r="N194" s="273"/>
      <c r="O194" s="273">
        <v>-73457</v>
      </c>
      <c r="P194" s="273">
        <v>-44436</v>
      </c>
      <c r="Q194" s="273">
        <v>-117893</v>
      </c>
    </row>
    <row r="195" spans="1:17" ht="12" customHeight="1">
      <c r="A195" s="53">
        <v>17105</v>
      </c>
      <c r="B195" s="54" t="s">
        <v>181</v>
      </c>
      <c r="C195" s="271">
        <v>3644623</v>
      </c>
      <c r="D195" s="271">
        <v>39060</v>
      </c>
      <c r="E195" s="271">
        <v>32579</v>
      </c>
      <c r="F195" s="271">
        <v>682000</v>
      </c>
      <c r="G195" s="271">
        <v>541888</v>
      </c>
      <c r="H195" s="271">
        <v>1295527</v>
      </c>
      <c r="I195" s="271"/>
      <c r="J195" s="271">
        <v>380697</v>
      </c>
      <c r="K195" s="271">
        <v>2311190</v>
      </c>
      <c r="L195" s="271">
        <v>170170</v>
      </c>
      <c r="M195" s="271">
        <v>2862057</v>
      </c>
      <c r="N195" s="69"/>
      <c r="O195" s="69">
        <v>-741887</v>
      </c>
      <c r="P195" s="69">
        <v>181779</v>
      </c>
      <c r="Q195" s="69">
        <v>-560108</v>
      </c>
    </row>
    <row r="196" spans="1:17" ht="12" customHeight="1">
      <c r="A196" s="51">
        <v>4215</v>
      </c>
      <c r="B196" s="55" t="s">
        <v>182</v>
      </c>
      <c r="C196" s="272">
        <v>500389</v>
      </c>
      <c r="D196" s="272">
        <v>5363</v>
      </c>
      <c r="E196" s="272">
        <v>4473</v>
      </c>
      <c r="F196" s="272">
        <v>93635</v>
      </c>
      <c r="G196" s="272">
        <v>780389</v>
      </c>
      <c r="H196" s="272">
        <v>883860</v>
      </c>
      <c r="I196" s="272"/>
      <c r="J196" s="272">
        <v>52268</v>
      </c>
      <c r="K196" s="272">
        <v>317315</v>
      </c>
      <c r="L196" s="272">
        <v>232418</v>
      </c>
      <c r="M196" s="272">
        <v>602001</v>
      </c>
      <c r="N196" s="273"/>
      <c r="O196" s="273">
        <v>-101857</v>
      </c>
      <c r="P196" s="273">
        <v>90162</v>
      </c>
      <c r="Q196" s="273">
        <v>-11695</v>
      </c>
    </row>
    <row r="197" spans="1:17" ht="12" customHeight="1">
      <c r="A197" s="53" t="s">
        <v>785</v>
      </c>
      <c r="B197" s="54" t="s">
        <v>240</v>
      </c>
      <c r="C197" s="271">
        <v>312703</v>
      </c>
      <c r="D197" s="271">
        <v>3351</v>
      </c>
      <c r="E197" s="271">
        <v>2795</v>
      </c>
      <c r="F197" s="271">
        <v>58514</v>
      </c>
      <c r="G197" s="271">
        <v>89898</v>
      </c>
      <c r="H197" s="271">
        <v>154558</v>
      </c>
      <c r="I197" s="271"/>
      <c r="J197" s="271">
        <v>32663</v>
      </c>
      <c r="K197" s="271">
        <v>198296</v>
      </c>
      <c r="L197" s="148">
        <v>252924</v>
      </c>
      <c r="M197" s="271">
        <v>483883</v>
      </c>
      <c r="N197" s="69"/>
      <c r="O197" s="69">
        <v>-63653</v>
      </c>
      <c r="P197" s="69">
        <v>-60618</v>
      </c>
      <c r="Q197" s="69">
        <v>-124271</v>
      </c>
    </row>
    <row r="198" spans="1:17" ht="12" customHeight="1">
      <c r="A198" s="53">
        <v>2870</v>
      </c>
      <c r="B198" s="54" t="s">
        <v>183</v>
      </c>
      <c r="C198" s="271">
        <v>582481</v>
      </c>
      <c r="D198" s="271">
        <v>6242</v>
      </c>
      <c r="E198" s="271">
        <v>5207</v>
      </c>
      <c r="F198" s="271">
        <v>108997</v>
      </c>
      <c r="G198" s="271">
        <v>43950</v>
      </c>
      <c r="H198" s="271">
        <v>164396</v>
      </c>
      <c r="I198" s="271"/>
      <c r="J198" s="271">
        <v>60843</v>
      </c>
      <c r="K198" s="271">
        <v>369373</v>
      </c>
      <c r="L198" s="148">
        <v>54397</v>
      </c>
      <c r="M198" s="271">
        <v>484613</v>
      </c>
      <c r="N198" s="69"/>
      <c r="O198" s="69">
        <v>-118568</v>
      </c>
      <c r="P198" s="69">
        <v>-7319</v>
      </c>
      <c r="Q198" s="69">
        <v>-125887</v>
      </c>
    </row>
    <row r="199" spans="1:17" ht="12" customHeight="1">
      <c r="A199" s="51">
        <v>29150</v>
      </c>
      <c r="B199" s="55" t="s">
        <v>184</v>
      </c>
      <c r="C199" s="272">
        <v>113511</v>
      </c>
      <c r="D199" s="272">
        <v>1217</v>
      </c>
      <c r="E199" s="272">
        <v>1015</v>
      </c>
      <c r="F199" s="272">
        <v>21241</v>
      </c>
      <c r="G199" s="272">
        <v>608</v>
      </c>
      <c r="H199" s="272">
        <v>24081</v>
      </c>
      <c r="I199" s="272"/>
      <c r="J199" s="272">
        <v>11857</v>
      </c>
      <c r="K199" s="272">
        <v>71982</v>
      </c>
      <c r="L199" s="147">
        <v>118053</v>
      </c>
      <c r="M199" s="272">
        <v>201892</v>
      </c>
      <c r="N199" s="273"/>
      <c r="O199" s="273">
        <v>-23106</v>
      </c>
      <c r="P199" s="273">
        <v>-43522</v>
      </c>
      <c r="Q199" s="273">
        <v>-66628</v>
      </c>
    </row>
    <row r="200" spans="1:17" ht="12" customHeight="1">
      <c r="A200" s="53">
        <v>3433</v>
      </c>
      <c r="B200" s="54" t="s">
        <v>186</v>
      </c>
      <c r="C200" s="271">
        <v>2305442</v>
      </c>
      <c r="D200" s="271">
        <v>24708</v>
      </c>
      <c r="E200" s="271">
        <v>20608</v>
      </c>
      <c r="F200" s="271">
        <v>431406</v>
      </c>
      <c r="G200" s="271">
        <v>1683914</v>
      </c>
      <c r="H200" s="271">
        <v>2160636</v>
      </c>
      <c r="I200" s="271"/>
      <c r="J200" s="271">
        <v>240814</v>
      </c>
      <c r="K200" s="271">
        <v>1461966</v>
      </c>
      <c r="L200" s="148">
        <v>0</v>
      </c>
      <c r="M200" s="271">
        <v>1702780</v>
      </c>
      <c r="N200" s="69"/>
      <c r="O200" s="69">
        <v>-469288</v>
      </c>
      <c r="P200" s="69">
        <v>783116</v>
      </c>
      <c r="Q200" s="69">
        <v>313828</v>
      </c>
    </row>
    <row r="201" spans="1:17" ht="12" customHeight="1">
      <c r="A201" s="51">
        <v>12039</v>
      </c>
      <c r="B201" s="55" t="s">
        <v>187</v>
      </c>
      <c r="C201" s="272">
        <v>1432961</v>
      </c>
      <c r="D201" s="272">
        <v>15357</v>
      </c>
      <c r="E201" s="272">
        <v>12809</v>
      </c>
      <c r="F201" s="272">
        <v>268143</v>
      </c>
      <c r="G201" s="272">
        <v>21481</v>
      </c>
      <c r="H201" s="272">
        <v>317790</v>
      </c>
      <c r="I201" s="272"/>
      <c r="J201" s="272">
        <v>149679</v>
      </c>
      <c r="K201" s="272">
        <v>908694</v>
      </c>
      <c r="L201" s="147">
        <v>345159</v>
      </c>
      <c r="M201" s="272">
        <v>1403532</v>
      </c>
      <c r="N201" s="273"/>
      <c r="O201" s="273">
        <v>-291689</v>
      </c>
      <c r="P201" s="273">
        <v>-131723</v>
      </c>
      <c r="Q201" s="273">
        <v>-423412</v>
      </c>
    </row>
    <row r="202" spans="1:17" ht="12" customHeight="1">
      <c r="A202" s="53">
        <v>12150</v>
      </c>
      <c r="B202" s="54" t="s">
        <v>188</v>
      </c>
      <c r="C202" s="271">
        <v>259394</v>
      </c>
      <c r="D202" s="271">
        <v>2780</v>
      </c>
      <c r="E202" s="271">
        <v>2319</v>
      </c>
      <c r="F202" s="271">
        <v>48539</v>
      </c>
      <c r="G202" s="271">
        <v>26488</v>
      </c>
      <c r="H202" s="271">
        <v>80126</v>
      </c>
      <c r="I202" s="271"/>
      <c r="J202" s="271">
        <v>27095</v>
      </c>
      <c r="K202" s="271">
        <v>164492</v>
      </c>
      <c r="L202" s="148">
        <v>110629</v>
      </c>
      <c r="M202" s="271">
        <v>302216</v>
      </c>
      <c r="N202" s="69"/>
      <c r="O202" s="69">
        <v>-52801</v>
      </c>
      <c r="P202" s="69">
        <v>-9359</v>
      </c>
      <c r="Q202" s="69">
        <v>-62160</v>
      </c>
    </row>
    <row r="203" spans="1:17" ht="12" customHeight="1">
      <c r="A203" s="51">
        <v>20060</v>
      </c>
      <c r="B203" s="52" t="s">
        <v>189</v>
      </c>
      <c r="C203" s="115">
        <v>1065619</v>
      </c>
      <c r="D203" s="115">
        <v>11420</v>
      </c>
      <c r="E203" s="115">
        <v>9526</v>
      </c>
      <c r="F203" s="115">
        <v>199404</v>
      </c>
      <c r="G203" s="115">
        <v>90376</v>
      </c>
      <c r="H203" s="115">
        <v>310726</v>
      </c>
      <c r="I203" s="115"/>
      <c r="J203" s="115">
        <v>111309</v>
      </c>
      <c r="K203" s="115">
        <v>675748</v>
      </c>
      <c r="L203" s="117">
        <v>248407</v>
      </c>
      <c r="M203" s="115">
        <v>1035464</v>
      </c>
      <c r="N203" s="116"/>
      <c r="O203" s="116">
        <v>-216914</v>
      </c>
      <c r="P203" s="116">
        <v>-174370</v>
      </c>
      <c r="Q203" s="116">
        <v>-391284</v>
      </c>
    </row>
    <row r="204" spans="1:17" ht="12" customHeight="1">
      <c r="A204" s="53">
        <v>1001</v>
      </c>
      <c r="B204" s="54" t="s">
        <v>190</v>
      </c>
      <c r="C204" s="271">
        <v>4069968</v>
      </c>
      <c r="D204" s="271">
        <v>43618</v>
      </c>
      <c r="E204" s="271">
        <v>36382</v>
      </c>
      <c r="F204" s="271">
        <v>761593</v>
      </c>
      <c r="G204" s="271">
        <v>1346255</v>
      </c>
      <c r="H204" s="271">
        <v>2187848</v>
      </c>
      <c r="I204" s="271"/>
      <c r="J204" s="271">
        <v>425126</v>
      </c>
      <c r="K204" s="271">
        <v>2580917</v>
      </c>
      <c r="L204" s="271">
        <v>857341</v>
      </c>
      <c r="M204" s="271">
        <v>3863384</v>
      </c>
      <c r="N204" s="69"/>
      <c r="O204" s="69">
        <v>-828469</v>
      </c>
      <c r="P204" s="69">
        <v>-233878</v>
      </c>
      <c r="Q204" s="69">
        <v>-1062347</v>
      </c>
    </row>
    <row r="205" spans="1:17" ht="12" customHeight="1">
      <c r="A205" s="51">
        <v>11035</v>
      </c>
      <c r="B205" s="55" t="s">
        <v>191</v>
      </c>
      <c r="C205" s="272">
        <v>7218057</v>
      </c>
      <c r="D205" s="272">
        <v>77356</v>
      </c>
      <c r="E205" s="272">
        <v>64522</v>
      </c>
      <c r="F205" s="272">
        <v>1350679</v>
      </c>
      <c r="G205" s="272">
        <v>1082335</v>
      </c>
      <c r="H205" s="272">
        <v>2574892</v>
      </c>
      <c r="I205" s="272"/>
      <c r="J205" s="272">
        <v>753958</v>
      </c>
      <c r="K205" s="272">
        <v>4577237</v>
      </c>
      <c r="L205" s="272">
        <v>562746</v>
      </c>
      <c r="M205" s="272">
        <v>5893941</v>
      </c>
      <c r="N205" s="273"/>
      <c r="O205" s="273">
        <v>-1469283</v>
      </c>
      <c r="P205" s="273">
        <v>422836</v>
      </c>
      <c r="Q205" s="273">
        <v>-1046447</v>
      </c>
    </row>
    <row r="206" spans="1:17" ht="12" customHeight="1">
      <c r="A206" s="53">
        <v>2320</v>
      </c>
      <c r="B206" s="54" t="s">
        <v>192</v>
      </c>
      <c r="C206" s="271">
        <v>848448</v>
      </c>
      <c r="D206" s="271">
        <v>9093</v>
      </c>
      <c r="E206" s="271">
        <v>7584</v>
      </c>
      <c r="F206" s="271">
        <v>158766</v>
      </c>
      <c r="G206" s="271">
        <v>126559</v>
      </c>
      <c r="H206" s="271">
        <v>302002</v>
      </c>
      <c r="I206" s="271"/>
      <c r="J206" s="271">
        <v>88624</v>
      </c>
      <c r="K206" s="271">
        <v>538032</v>
      </c>
      <c r="L206" s="271">
        <v>107590</v>
      </c>
      <c r="M206" s="271">
        <v>734246</v>
      </c>
      <c r="N206" s="69"/>
      <c r="O206" s="69">
        <v>-172707</v>
      </c>
      <c r="P206" s="69">
        <v>9734</v>
      </c>
      <c r="Q206" s="69">
        <v>-162973</v>
      </c>
    </row>
    <row r="207" spans="1:17" ht="12" customHeight="1">
      <c r="A207" s="51">
        <v>28084</v>
      </c>
      <c r="B207" s="55" t="s">
        <v>193</v>
      </c>
      <c r="C207" s="272">
        <v>713285</v>
      </c>
      <c r="D207" s="272">
        <v>7644</v>
      </c>
      <c r="E207" s="272">
        <v>6376</v>
      </c>
      <c r="F207" s="272">
        <v>133474</v>
      </c>
      <c r="G207" s="272">
        <v>109074</v>
      </c>
      <c r="H207" s="272">
        <v>256568</v>
      </c>
      <c r="I207" s="272"/>
      <c r="J207" s="272">
        <v>74506</v>
      </c>
      <c r="K207" s="272">
        <v>452321</v>
      </c>
      <c r="L207" s="272">
        <v>26016</v>
      </c>
      <c r="M207" s="272">
        <v>552843</v>
      </c>
      <c r="N207" s="273"/>
      <c r="O207" s="273">
        <v>-145194</v>
      </c>
      <c r="P207" s="273">
        <v>23913</v>
      </c>
      <c r="Q207" s="273">
        <v>-121281</v>
      </c>
    </row>
    <row r="208" spans="1:17" ht="12" customHeight="1">
      <c r="A208" s="53">
        <v>20125</v>
      </c>
      <c r="B208" s="54" t="s">
        <v>194</v>
      </c>
      <c r="C208" s="271">
        <v>1082001</v>
      </c>
      <c r="D208" s="271">
        <v>11596</v>
      </c>
      <c r="E208" s="271">
        <v>9672</v>
      </c>
      <c r="F208" s="271">
        <v>202469</v>
      </c>
      <c r="G208" s="271">
        <v>461626</v>
      </c>
      <c r="H208" s="271">
        <v>685363</v>
      </c>
      <c r="I208" s="271"/>
      <c r="J208" s="271">
        <v>113020</v>
      </c>
      <c r="K208" s="271">
        <v>686137</v>
      </c>
      <c r="L208" s="148">
        <v>224062</v>
      </c>
      <c r="M208" s="271">
        <v>1023219</v>
      </c>
      <c r="N208" s="69"/>
      <c r="O208" s="69">
        <v>-220248</v>
      </c>
      <c r="P208" s="69">
        <v>-35468</v>
      </c>
      <c r="Q208" s="69">
        <v>-255716</v>
      </c>
    </row>
    <row r="209" spans="1:17" ht="12" customHeight="1">
      <c r="A209" s="51">
        <v>7445</v>
      </c>
      <c r="B209" s="55" t="s">
        <v>401</v>
      </c>
      <c r="C209" s="272">
        <v>427839</v>
      </c>
      <c r="D209" s="272">
        <v>4585</v>
      </c>
      <c r="E209" s="272">
        <v>3824</v>
      </c>
      <c r="F209" s="272">
        <v>80059</v>
      </c>
      <c r="G209" s="147">
        <v>464417</v>
      </c>
      <c r="H209" s="272">
        <v>552885</v>
      </c>
      <c r="I209" s="272"/>
      <c r="J209" s="272">
        <v>44690</v>
      </c>
      <c r="K209" s="272">
        <v>271309</v>
      </c>
      <c r="L209" s="272">
        <v>0</v>
      </c>
      <c r="M209" s="272">
        <v>315999</v>
      </c>
      <c r="N209" s="273"/>
      <c r="O209" s="273">
        <v>-87090</v>
      </c>
      <c r="P209" s="273">
        <v>174068</v>
      </c>
      <c r="Q209" s="273">
        <v>86978</v>
      </c>
    </row>
    <row r="210" spans="1:17" ht="12" customHeight="1">
      <c r="A210" s="53">
        <v>9029</v>
      </c>
      <c r="B210" s="54" t="s">
        <v>196</v>
      </c>
      <c r="C210" s="271">
        <v>2116061</v>
      </c>
      <c r="D210" s="271">
        <v>22678</v>
      </c>
      <c r="E210" s="271">
        <v>18916</v>
      </c>
      <c r="F210" s="271">
        <v>395968</v>
      </c>
      <c r="G210" s="271">
        <v>373333</v>
      </c>
      <c r="H210" s="271">
        <v>810895</v>
      </c>
      <c r="I210" s="271"/>
      <c r="J210" s="271">
        <v>221032</v>
      </c>
      <c r="K210" s="271">
        <v>1341872</v>
      </c>
      <c r="L210" s="148">
        <v>157626</v>
      </c>
      <c r="M210" s="271">
        <v>1720530</v>
      </c>
      <c r="N210" s="69"/>
      <c r="O210" s="69">
        <v>-430738</v>
      </c>
      <c r="P210" s="69">
        <v>87410</v>
      </c>
      <c r="Q210" s="69">
        <v>-343328</v>
      </c>
    </row>
    <row r="211" spans="1:17" ht="12" customHeight="1">
      <c r="A211" s="51">
        <v>2580</v>
      </c>
      <c r="B211" s="55" t="s">
        <v>197</v>
      </c>
      <c r="C211" s="272">
        <v>254532</v>
      </c>
      <c r="D211" s="272">
        <v>2728</v>
      </c>
      <c r="E211" s="272">
        <v>2275</v>
      </c>
      <c r="F211" s="272">
        <v>47629</v>
      </c>
      <c r="G211" s="147">
        <v>1076</v>
      </c>
      <c r="H211" s="272">
        <v>53708</v>
      </c>
      <c r="I211" s="272"/>
      <c r="J211" s="272">
        <v>26587</v>
      </c>
      <c r="K211" s="272">
        <v>161408</v>
      </c>
      <c r="L211" s="272">
        <v>89580</v>
      </c>
      <c r="M211" s="272">
        <v>277575</v>
      </c>
      <c r="N211" s="273"/>
      <c r="O211" s="273">
        <v>-51812</v>
      </c>
      <c r="P211" s="273">
        <v>-39937</v>
      </c>
      <c r="Q211" s="273">
        <v>-91749</v>
      </c>
    </row>
    <row r="212" spans="1:17" ht="12" customHeight="1">
      <c r="A212" s="53">
        <v>20312</v>
      </c>
      <c r="B212" s="54" t="s">
        <v>198</v>
      </c>
      <c r="C212" s="271">
        <v>207740</v>
      </c>
      <c r="D212" s="271">
        <v>2226</v>
      </c>
      <c r="E212" s="271">
        <v>1857</v>
      </c>
      <c r="F212" s="271">
        <v>38873</v>
      </c>
      <c r="G212" s="271">
        <v>24225</v>
      </c>
      <c r="H212" s="271">
        <v>67181</v>
      </c>
      <c r="I212" s="271"/>
      <c r="J212" s="271">
        <v>21699</v>
      </c>
      <c r="K212" s="271">
        <v>131735</v>
      </c>
      <c r="L212" s="148">
        <v>35798</v>
      </c>
      <c r="M212" s="271">
        <v>189232</v>
      </c>
      <c r="N212" s="69"/>
      <c r="O212" s="69">
        <v>-42287</v>
      </c>
      <c r="P212" s="69">
        <v>14154</v>
      </c>
      <c r="Q212" s="69">
        <v>-28133</v>
      </c>
    </row>
    <row r="213" spans="1:17" ht="12" customHeight="1">
      <c r="A213" s="51">
        <v>26150</v>
      </c>
      <c r="B213" s="55" t="s">
        <v>199</v>
      </c>
      <c r="C213" s="272">
        <v>1539704</v>
      </c>
      <c r="D213" s="272">
        <v>16501</v>
      </c>
      <c r="E213" s="272">
        <v>13763</v>
      </c>
      <c r="F213" s="272">
        <v>288117</v>
      </c>
      <c r="G213" s="272">
        <v>138167</v>
      </c>
      <c r="H213" s="272">
        <v>456548</v>
      </c>
      <c r="I213" s="272"/>
      <c r="J213" s="272">
        <v>160829</v>
      </c>
      <c r="K213" s="272">
        <v>976383</v>
      </c>
      <c r="L213" s="272">
        <v>155128</v>
      </c>
      <c r="M213" s="272">
        <v>1292340</v>
      </c>
      <c r="N213" s="273"/>
      <c r="O213" s="273">
        <v>-313417</v>
      </c>
      <c r="P213" s="273">
        <v>96456</v>
      </c>
      <c r="Q213" s="273">
        <v>-216961</v>
      </c>
    </row>
    <row r="214" spans="1:17" ht="12" customHeight="1">
      <c r="A214" s="53">
        <v>5016</v>
      </c>
      <c r="B214" s="54" t="s">
        <v>200</v>
      </c>
      <c r="C214" s="271">
        <v>223813</v>
      </c>
      <c r="D214" s="271">
        <v>2399</v>
      </c>
      <c r="E214" s="271">
        <v>2001</v>
      </c>
      <c r="F214" s="271">
        <v>41881</v>
      </c>
      <c r="G214" s="271">
        <v>72042</v>
      </c>
      <c r="H214" s="271">
        <v>118323</v>
      </c>
      <c r="I214" s="271"/>
      <c r="J214" s="271">
        <v>23378</v>
      </c>
      <c r="K214" s="271">
        <v>141928</v>
      </c>
      <c r="L214" s="271">
        <v>13315</v>
      </c>
      <c r="M214" s="271">
        <v>178621</v>
      </c>
      <c r="N214" s="69"/>
      <c r="O214" s="69">
        <v>-45559</v>
      </c>
      <c r="P214" s="69">
        <v>-6051</v>
      </c>
      <c r="Q214" s="69">
        <v>-51610</v>
      </c>
    </row>
    <row r="215" spans="1:17" ht="12" customHeight="1">
      <c r="A215" s="51">
        <v>6150</v>
      </c>
      <c r="B215" s="55" t="s">
        <v>201</v>
      </c>
      <c r="C215" s="272">
        <v>176685</v>
      </c>
      <c r="D215" s="272">
        <v>1894</v>
      </c>
      <c r="E215" s="272">
        <v>1579</v>
      </c>
      <c r="F215" s="272">
        <v>33062</v>
      </c>
      <c r="G215" s="272">
        <v>147624</v>
      </c>
      <c r="H215" s="272">
        <v>184159</v>
      </c>
      <c r="I215" s="272"/>
      <c r="J215" s="272">
        <v>18456</v>
      </c>
      <c r="K215" s="272">
        <v>112043</v>
      </c>
      <c r="L215" s="147">
        <v>114573</v>
      </c>
      <c r="M215" s="272">
        <v>245072</v>
      </c>
      <c r="N215" s="273"/>
      <c r="O215" s="273">
        <v>-35965</v>
      </c>
      <c r="P215" s="273">
        <v>34129</v>
      </c>
      <c r="Q215" s="273">
        <v>-1836</v>
      </c>
    </row>
    <row r="216" spans="1:17" ht="12" customHeight="1">
      <c r="A216" s="53">
        <v>4480</v>
      </c>
      <c r="B216" s="54" t="s">
        <v>202</v>
      </c>
      <c r="C216" s="271">
        <v>297400</v>
      </c>
      <c r="D216" s="271">
        <v>3187</v>
      </c>
      <c r="E216" s="271">
        <v>2658</v>
      </c>
      <c r="F216" s="271">
        <v>55651</v>
      </c>
      <c r="G216" s="271">
        <v>45269</v>
      </c>
      <c r="H216" s="271">
        <v>106765</v>
      </c>
      <c r="I216" s="271"/>
      <c r="J216" s="271">
        <v>31065</v>
      </c>
      <c r="K216" s="271">
        <v>188592</v>
      </c>
      <c r="L216" s="271">
        <v>82537</v>
      </c>
      <c r="M216" s="271">
        <v>302194</v>
      </c>
      <c r="N216" s="69"/>
      <c r="O216" s="69">
        <v>-60538</v>
      </c>
      <c r="P216" s="69">
        <v>-23986</v>
      </c>
      <c r="Q216" s="69">
        <v>-84524</v>
      </c>
    </row>
    <row r="217" spans="1:17" ht="12" customHeight="1">
      <c r="A217" s="51">
        <v>28085</v>
      </c>
      <c r="B217" s="55" t="s">
        <v>203</v>
      </c>
      <c r="C217" s="272">
        <v>556205</v>
      </c>
      <c r="D217" s="272">
        <v>5961</v>
      </c>
      <c r="E217" s="272">
        <v>4972</v>
      </c>
      <c r="F217" s="272">
        <v>104080</v>
      </c>
      <c r="G217" s="272">
        <v>39742</v>
      </c>
      <c r="H217" s="272">
        <v>154755</v>
      </c>
      <c r="I217" s="272"/>
      <c r="J217" s="272">
        <v>58098</v>
      </c>
      <c r="K217" s="272">
        <v>352710</v>
      </c>
      <c r="L217" s="272">
        <v>72334</v>
      </c>
      <c r="M217" s="272">
        <v>483142</v>
      </c>
      <c r="N217" s="273"/>
      <c r="O217" s="273">
        <v>-113219</v>
      </c>
      <c r="P217" s="273">
        <v>-20856</v>
      </c>
      <c r="Q217" s="273">
        <v>-134075</v>
      </c>
    </row>
    <row r="218" spans="1:17" ht="12" customHeight="1">
      <c r="A218" s="53">
        <v>3240</v>
      </c>
      <c r="B218" s="54" t="s">
        <v>204</v>
      </c>
      <c r="C218" s="271">
        <v>3231190</v>
      </c>
      <c r="D218" s="271">
        <v>34629</v>
      </c>
      <c r="E218" s="271">
        <v>28884</v>
      </c>
      <c r="F218" s="271">
        <v>604637</v>
      </c>
      <c r="G218" s="271">
        <v>629810</v>
      </c>
      <c r="H218" s="271">
        <v>1297960</v>
      </c>
      <c r="I218" s="271"/>
      <c r="J218" s="271">
        <v>337512</v>
      </c>
      <c r="K218" s="271">
        <v>2049017</v>
      </c>
      <c r="L218" s="271">
        <v>1065893</v>
      </c>
      <c r="M218" s="271">
        <v>3452422</v>
      </c>
      <c r="N218" s="69"/>
      <c r="O218" s="69">
        <v>-657730</v>
      </c>
      <c r="P218" s="69">
        <v>-253873</v>
      </c>
      <c r="Q218" s="69">
        <v>-911603</v>
      </c>
    </row>
    <row r="219" spans="1:17" ht="12" customHeight="1">
      <c r="A219" s="51">
        <v>12326</v>
      </c>
      <c r="B219" s="55" t="s">
        <v>205</v>
      </c>
      <c r="C219" s="272">
        <v>290449</v>
      </c>
      <c r="D219" s="272">
        <v>3113</v>
      </c>
      <c r="E219" s="272">
        <v>2596</v>
      </c>
      <c r="F219" s="272">
        <v>54350</v>
      </c>
      <c r="G219" s="272">
        <v>150265</v>
      </c>
      <c r="H219" s="272">
        <v>210324</v>
      </c>
      <c r="I219" s="272"/>
      <c r="J219" s="272">
        <v>30339</v>
      </c>
      <c r="K219" s="272">
        <v>184184</v>
      </c>
      <c r="L219" s="147">
        <v>12028</v>
      </c>
      <c r="M219" s="272">
        <v>226551</v>
      </c>
      <c r="N219" s="273"/>
      <c r="O219" s="273">
        <v>-59123</v>
      </c>
      <c r="P219" s="273">
        <v>41248</v>
      </c>
      <c r="Q219" s="273">
        <v>-17875</v>
      </c>
    </row>
    <row r="220" spans="1:17" ht="12" customHeight="1">
      <c r="A220" s="53">
        <v>2445</v>
      </c>
      <c r="B220" s="54" t="s">
        <v>427</v>
      </c>
      <c r="C220" s="271">
        <v>270283</v>
      </c>
      <c r="D220" s="271">
        <v>2897</v>
      </c>
      <c r="E220" s="271">
        <v>2416</v>
      </c>
      <c r="F220" s="271">
        <v>50577</v>
      </c>
      <c r="G220" s="271">
        <v>377984</v>
      </c>
      <c r="H220" s="271">
        <v>433874</v>
      </c>
      <c r="I220" s="271"/>
      <c r="J220" s="271">
        <v>28232</v>
      </c>
      <c r="K220" s="271">
        <v>171396</v>
      </c>
      <c r="L220" s="271">
        <v>0</v>
      </c>
      <c r="M220" s="271">
        <v>199628</v>
      </c>
      <c r="N220" s="69"/>
      <c r="O220" s="69">
        <v>-55018</v>
      </c>
      <c r="P220" s="69">
        <v>95432</v>
      </c>
      <c r="Q220" s="69">
        <v>40414</v>
      </c>
    </row>
    <row r="221" spans="1:17" ht="12" customHeight="1">
      <c r="A221" s="51">
        <v>29123</v>
      </c>
      <c r="B221" s="55" t="s">
        <v>206</v>
      </c>
      <c r="C221" s="272">
        <v>40697162</v>
      </c>
      <c r="D221" s="272">
        <v>436153</v>
      </c>
      <c r="E221" s="272">
        <v>363793</v>
      </c>
      <c r="F221" s="272">
        <v>7615459</v>
      </c>
      <c r="G221" s="272">
        <v>6753621</v>
      </c>
      <c r="H221" s="272">
        <v>15169026</v>
      </c>
      <c r="I221" s="272"/>
      <c r="J221" s="272">
        <v>4250997</v>
      </c>
      <c r="K221" s="272">
        <v>25807575</v>
      </c>
      <c r="L221" s="147">
        <v>3272833</v>
      </c>
      <c r="M221" s="272">
        <v>33331405</v>
      </c>
      <c r="N221" s="273"/>
      <c r="O221" s="273">
        <v>-8284178</v>
      </c>
      <c r="P221" s="273">
        <v>1825866</v>
      </c>
      <c r="Q221" s="273">
        <v>-6458312</v>
      </c>
    </row>
    <row r="222" spans="1:17" ht="12" customHeight="1">
      <c r="A222" s="53">
        <v>2318</v>
      </c>
      <c r="B222" s="54" t="s">
        <v>207</v>
      </c>
      <c r="C222" s="271">
        <v>860990</v>
      </c>
      <c r="D222" s="271">
        <v>9227</v>
      </c>
      <c r="E222" s="271">
        <v>7696</v>
      </c>
      <c r="F222" s="271">
        <v>161113</v>
      </c>
      <c r="G222" s="148">
        <v>287192</v>
      </c>
      <c r="H222" s="271">
        <v>465228</v>
      </c>
      <c r="I222" s="271"/>
      <c r="J222" s="271">
        <v>89934</v>
      </c>
      <c r="K222" s="271">
        <v>545986</v>
      </c>
      <c r="L222" s="271">
        <v>339842</v>
      </c>
      <c r="M222" s="271">
        <v>975762</v>
      </c>
      <c r="N222" s="69"/>
      <c r="O222" s="69">
        <v>-175260</v>
      </c>
      <c r="P222" s="69">
        <v>22872</v>
      </c>
      <c r="Q222" s="69">
        <v>-152388</v>
      </c>
    </row>
    <row r="223" spans="1:17" ht="12" customHeight="1">
      <c r="A223" s="51">
        <v>3250</v>
      </c>
      <c r="B223" s="55" t="s">
        <v>208</v>
      </c>
      <c r="C223" s="272">
        <v>1131091</v>
      </c>
      <c r="D223" s="272">
        <v>12122</v>
      </c>
      <c r="E223" s="272">
        <v>10111</v>
      </c>
      <c r="F223" s="272">
        <v>211655</v>
      </c>
      <c r="G223" s="272">
        <v>45307</v>
      </c>
      <c r="H223" s="272">
        <v>279195</v>
      </c>
      <c r="I223" s="272"/>
      <c r="J223" s="272">
        <v>118147</v>
      </c>
      <c r="K223" s="272">
        <v>717267</v>
      </c>
      <c r="L223" s="147">
        <v>255078</v>
      </c>
      <c r="M223" s="272">
        <v>1090492</v>
      </c>
      <c r="N223" s="273"/>
      <c r="O223" s="273">
        <v>-230241</v>
      </c>
      <c r="P223" s="273">
        <v>-91658</v>
      </c>
      <c r="Q223" s="273">
        <v>-321899</v>
      </c>
    </row>
    <row r="224" spans="1:17" ht="12" customHeight="1">
      <c r="A224" s="53">
        <v>2313</v>
      </c>
      <c r="B224" s="54" t="s">
        <v>209</v>
      </c>
      <c r="C224" s="271">
        <v>163078</v>
      </c>
      <c r="D224" s="271">
        <v>1748</v>
      </c>
      <c r="E224" s="271">
        <v>1458</v>
      </c>
      <c r="F224" s="271">
        <v>30516</v>
      </c>
      <c r="G224" s="148">
        <v>55486</v>
      </c>
      <c r="H224" s="271">
        <v>89208</v>
      </c>
      <c r="I224" s="271"/>
      <c r="J224" s="271">
        <v>17034</v>
      </c>
      <c r="K224" s="271">
        <v>103414</v>
      </c>
      <c r="L224" s="271">
        <v>1095</v>
      </c>
      <c r="M224" s="271">
        <v>121543</v>
      </c>
      <c r="N224" s="69"/>
      <c r="O224" s="69">
        <v>-33196</v>
      </c>
      <c r="P224" s="69">
        <v>14707</v>
      </c>
      <c r="Q224" s="69">
        <v>-18489</v>
      </c>
    </row>
    <row r="225" spans="1:17" ht="12" customHeight="1">
      <c r="A225" s="51">
        <v>4011</v>
      </c>
      <c r="B225" s="55" t="s">
        <v>210</v>
      </c>
      <c r="C225" s="272">
        <v>23259095</v>
      </c>
      <c r="D225" s="272">
        <v>249269</v>
      </c>
      <c r="E225" s="272">
        <v>207914</v>
      </c>
      <c r="F225" s="272">
        <v>4352359</v>
      </c>
      <c r="G225" s="272">
        <v>2332280</v>
      </c>
      <c r="H225" s="272">
        <v>7141822</v>
      </c>
      <c r="I225" s="272"/>
      <c r="J225" s="272">
        <v>2429514</v>
      </c>
      <c r="K225" s="272">
        <v>14749452</v>
      </c>
      <c r="L225" s="147">
        <v>966092</v>
      </c>
      <c r="M225" s="272">
        <v>18145058</v>
      </c>
      <c r="N225" s="273"/>
      <c r="O225" s="273">
        <v>-4734543</v>
      </c>
      <c r="P225" s="273">
        <v>1283587</v>
      </c>
      <c r="Q225" s="273">
        <v>-3450956</v>
      </c>
    </row>
    <row r="226" spans="1:17" ht="12" customHeight="1">
      <c r="A226" s="53">
        <v>31092</v>
      </c>
      <c r="B226" s="54" t="s">
        <v>211</v>
      </c>
      <c r="C226" s="271">
        <v>361120</v>
      </c>
      <c r="D226" s="271">
        <v>3870</v>
      </c>
      <c r="E226" s="271">
        <v>3228</v>
      </c>
      <c r="F226" s="271">
        <v>67575</v>
      </c>
      <c r="G226" s="271">
        <v>75432</v>
      </c>
      <c r="H226" s="271">
        <v>150105</v>
      </c>
      <c r="I226" s="271"/>
      <c r="J226" s="271">
        <v>37721</v>
      </c>
      <c r="K226" s="271">
        <v>229000</v>
      </c>
      <c r="L226" s="271">
        <v>68187</v>
      </c>
      <c r="M226" s="271">
        <v>334908</v>
      </c>
      <c r="N226" s="69"/>
      <c r="O226" s="69">
        <v>-73508</v>
      </c>
      <c r="P226" s="69">
        <v>7894</v>
      </c>
      <c r="Q226" s="69">
        <v>-65614</v>
      </c>
    </row>
    <row r="227" spans="1:17" ht="12" customHeight="1">
      <c r="A227" s="51">
        <v>26081</v>
      </c>
      <c r="B227" s="55" t="s">
        <v>212</v>
      </c>
      <c r="C227" s="272">
        <v>4267170</v>
      </c>
      <c r="D227" s="272">
        <v>45731</v>
      </c>
      <c r="E227" s="272">
        <v>38144</v>
      </c>
      <c r="F227" s="272">
        <v>798494</v>
      </c>
      <c r="G227" s="272">
        <v>765961</v>
      </c>
      <c r="H227" s="272">
        <v>1648330</v>
      </c>
      <c r="I227" s="272"/>
      <c r="J227" s="272">
        <v>445725</v>
      </c>
      <c r="K227" s="272">
        <v>2705970</v>
      </c>
      <c r="L227" s="272">
        <v>427480</v>
      </c>
      <c r="M227" s="272">
        <v>3579175</v>
      </c>
      <c r="N227" s="273"/>
      <c r="O227" s="273">
        <v>-868611</v>
      </c>
      <c r="P227" s="273">
        <v>64382</v>
      </c>
      <c r="Q227" s="273">
        <v>-804229</v>
      </c>
    </row>
    <row r="228" spans="1:17" ht="12" customHeight="1">
      <c r="A228" s="53">
        <v>29305</v>
      </c>
      <c r="B228" s="54" t="s">
        <v>213</v>
      </c>
      <c r="C228" s="271">
        <v>283400</v>
      </c>
      <c r="D228" s="271">
        <v>3037</v>
      </c>
      <c r="E228" s="271">
        <v>2533</v>
      </c>
      <c r="F228" s="271">
        <v>53031</v>
      </c>
      <c r="G228" s="271">
        <v>49547</v>
      </c>
      <c r="H228" s="271">
        <v>108148</v>
      </c>
      <c r="I228" s="271"/>
      <c r="J228" s="271">
        <v>29602</v>
      </c>
      <c r="K228" s="271">
        <v>179714</v>
      </c>
      <c r="L228" s="271">
        <v>111716</v>
      </c>
      <c r="M228" s="271">
        <v>321032</v>
      </c>
      <c r="N228" s="69"/>
      <c r="O228" s="69">
        <v>-57688</v>
      </c>
      <c r="P228" s="69">
        <v>-14789</v>
      </c>
      <c r="Q228" s="69">
        <v>-72477</v>
      </c>
    </row>
    <row r="229" spans="1:17" ht="12" customHeight="1">
      <c r="A229" s="51">
        <v>10032</v>
      </c>
      <c r="B229" s="55" t="s">
        <v>214</v>
      </c>
      <c r="C229" s="272">
        <v>527687</v>
      </c>
      <c r="D229" s="272">
        <v>5655</v>
      </c>
      <c r="E229" s="272">
        <v>4717</v>
      </c>
      <c r="F229" s="272">
        <v>98744</v>
      </c>
      <c r="G229" s="272">
        <v>135259</v>
      </c>
      <c r="H229" s="272">
        <v>244375</v>
      </c>
      <c r="I229" s="272"/>
      <c r="J229" s="272">
        <v>55119</v>
      </c>
      <c r="K229" s="272">
        <v>334626</v>
      </c>
      <c r="L229" s="272">
        <v>50234</v>
      </c>
      <c r="M229" s="272">
        <v>439979</v>
      </c>
      <c r="N229" s="273"/>
      <c r="O229" s="273">
        <v>-107414</v>
      </c>
      <c r="P229" s="273">
        <v>-9010</v>
      </c>
      <c r="Q229" s="273">
        <v>-116424</v>
      </c>
    </row>
    <row r="230" spans="1:17" ht="12" customHeight="1">
      <c r="A230" s="53">
        <v>32107</v>
      </c>
      <c r="B230" s="54" t="s">
        <v>215</v>
      </c>
      <c r="C230" s="271">
        <v>667895</v>
      </c>
      <c r="D230" s="271">
        <v>7158</v>
      </c>
      <c r="E230" s="271">
        <v>5970</v>
      </c>
      <c r="F230" s="271">
        <v>124980</v>
      </c>
      <c r="G230" s="271">
        <v>189119</v>
      </c>
      <c r="H230" s="271">
        <v>327227</v>
      </c>
      <c r="I230" s="271"/>
      <c r="J230" s="271">
        <v>69765</v>
      </c>
      <c r="K230" s="271">
        <v>423537</v>
      </c>
      <c r="L230" s="148">
        <v>128242</v>
      </c>
      <c r="M230" s="271">
        <v>621544</v>
      </c>
      <c r="N230" s="69"/>
      <c r="O230" s="69">
        <v>-135954</v>
      </c>
      <c r="P230" s="69">
        <v>-80446</v>
      </c>
      <c r="Q230" s="69">
        <v>-216400</v>
      </c>
    </row>
    <row r="231" spans="1:17" ht="12" customHeight="1">
      <c r="A231" s="51">
        <v>3260</v>
      </c>
      <c r="B231" s="55" t="s">
        <v>216</v>
      </c>
      <c r="C231" s="272">
        <v>9356021</v>
      </c>
      <c r="D231" s="272">
        <v>100269</v>
      </c>
      <c r="E231" s="272">
        <v>83634</v>
      </c>
      <c r="F231" s="272">
        <v>1750746</v>
      </c>
      <c r="G231" s="272">
        <v>0</v>
      </c>
      <c r="H231" s="272">
        <v>1934649</v>
      </c>
      <c r="I231" s="272"/>
      <c r="J231" s="272">
        <v>977277</v>
      </c>
      <c r="K231" s="272">
        <v>5932999</v>
      </c>
      <c r="L231" s="147">
        <v>2575167</v>
      </c>
      <c r="M231" s="272">
        <v>9485443</v>
      </c>
      <c r="N231" s="273"/>
      <c r="O231" s="273">
        <v>-1904480</v>
      </c>
      <c r="P231" s="273">
        <v>-1606449</v>
      </c>
      <c r="Q231" s="273">
        <v>-3510929</v>
      </c>
    </row>
    <row r="232" spans="1:17" ht="12" customHeight="1">
      <c r="A232" s="53">
        <v>4390</v>
      </c>
      <c r="B232" s="54" t="s">
        <v>217</v>
      </c>
      <c r="C232" s="271">
        <v>101530</v>
      </c>
      <c r="D232" s="271">
        <v>1088</v>
      </c>
      <c r="E232" s="271">
        <v>908</v>
      </c>
      <c r="F232" s="271">
        <v>18999</v>
      </c>
      <c r="G232" s="271">
        <v>42183</v>
      </c>
      <c r="H232" s="271">
        <v>63178</v>
      </c>
      <c r="I232" s="271"/>
      <c r="J232" s="271">
        <v>10605</v>
      </c>
      <c r="K232" s="271">
        <v>64384</v>
      </c>
      <c r="L232" s="271">
        <v>42403</v>
      </c>
      <c r="M232" s="271">
        <v>117392</v>
      </c>
      <c r="N232" s="69"/>
      <c r="O232" s="69">
        <v>-20667</v>
      </c>
      <c r="P232" s="69">
        <v>-620</v>
      </c>
      <c r="Q232" s="69">
        <v>-21287</v>
      </c>
    </row>
    <row r="233" spans="1:17" ht="12" customHeight="1">
      <c r="A233" s="51">
        <v>3270</v>
      </c>
      <c r="B233" s="55" t="s">
        <v>218</v>
      </c>
      <c r="C233" s="272">
        <v>1422857</v>
      </c>
      <c r="D233" s="272">
        <v>15249</v>
      </c>
      <c r="E233" s="272">
        <v>12719</v>
      </c>
      <c r="F233" s="272">
        <v>266252</v>
      </c>
      <c r="G233" s="272">
        <v>161040</v>
      </c>
      <c r="H233" s="272">
        <v>455260</v>
      </c>
      <c r="I233" s="272"/>
      <c r="J233" s="272">
        <v>148624</v>
      </c>
      <c r="K233" s="272">
        <v>902286</v>
      </c>
      <c r="L233" s="272">
        <v>428271</v>
      </c>
      <c r="M233" s="272">
        <v>1479181</v>
      </c>
      <c r="N233" s="273"/>
      <c r="O233" s="273">
        <v>-289632</v>
      </c>
      <c r="P233" s="273">
        <v>-106915</v>
      </c>
      <c r="Q233" s="273">
        <v>-396547</v>
      </c>
    </row>
    <row r="234" spans="1:17" ht="12" customHeight="1">
      <c r="A234" s="53">
        <v>29303</v>
      </c>
      <c r="B234" s="54" t="s">
        <v>219</v>
      </c>
      <c r="C234" s="271">
        <v>508461</v>
      </c>
      <c r="D234" s="271">
        <v>5449</v>
      </c>
      <c r="E234" s="271">
        <v>4545</v>
      </c>
      <c r="F234" s="271">
        <v>95146</v>
      </c>
      <c r="G234" s="271">
        <v>283236</v>
      </c>
      <c r="H234" s="271">
        <v>388376</v>
      </c>
      <c r="I234" s="271"/>
      <c r="J234" s="271">
        <v>53111</v>
      </c>
      <c r="K234" s="271">
        <v>322434</v>
      </c>
      <c r="L234" s="271">
        <v>0</v>
      </c>
      <c r="M234" s="271">
        <v>375545</v>
      </c>
      <c r="N234" s="69"/>
      <c r="O234" s="69">
        <v>-103501</v>
      </c>
      <c r="P234" s="69">
        <v>154281</v>
      </c>
      <c r="Q234" s="69">
        <v>50780</v>
      </c>
    </row>
    <row r="235" spans="1:17" ht="12" customHeight="1">
      <c r="A235" s="51">
        <v>3280</v>
      </c>
      <c r="B235" s="55" t="s">
        <v>412</v>
      </c>
      <c r="C235" s="272">
        <v>7165870</v>
      </c>
      <c r="D235" s="272">
        <v>76797</v>
      </c>
      <c r="E235" s="272">
        <v>64056</v>
      </c>
      <c r="F235" s="272">
        <v>1340914</v>
      </c>
      <c r="G235" s="272">
        <v>548953</v>
      </c>
      <c r="H235" s="272">
        <v>2030720</v>
      </c>
      <c r="I235" s="272"/>
      <c r="J235" s="272">
        <v>748507</v>
      </c>
      <c r="K235" s="272">
        <v>4544143</v>
      </c>
      <c r="L235" s="272">
        <v>956938</v>
      </c>
      <c r="M235" s="272">
        <v>6249588</v>
      </c>
      <c r="N235" s="273"/>
      <c r="O235" s="273">
        <v>-1458660</v>
      </c>
      <c r="P235" s="273">
        <v>-711506</v>
      </c>
      <c r="Q235" s="273">
        <v>-2170166</v>
      </c>
    </row>
    <row r="236" spans="1:17" ht="12" customHeight="1">
      <c r="A236" s="53">
        <v>4260</v>
      </c>
      <c r="B236" s="54" t="s">
        <v>221</v>
      </c>
      <c r="C236" s="271">
        <v>556191</v>
      </c>
      <c r="D236" s="271">
        <v>5961</v>
      </c>
      <c r="E236" s="271">
        <v>4972</v>
      </c>
      <c r="F236" s="271">
        <v>104077</v>
      </c>
      <c r="G236" s="271">
        <v>113791</v>
      </c>
      <c r="H236" s="271">
        <v>228801</v>
      </c>
      <c r="I236" s="271"/>
      <c r="J236" s="271">
        <v>58097</v>
      </c>
      <c r="K236" s="271">
        <v>352701</v>
      </c>
      <c r="L236" s="148">
        <v>164129</v>
      </c>
      <c r="M236" s="271">
        <v>574927</v>
      </c>
      <c r="N236" s="69"/>
      <c r="O236" s="69">
        <v>-113216</v>
      </c>
      <c r="P236" s="69">
        <v>-9999</v>
      </c>
      <c r="Q236" s="69">
        <v>-123215</v>
      </c>
    </row>
    <row r="237" spans="1:17" ht="12" customHeight="1">
      <c r="A237" s="51">
        <v>1003</v>
      </c>
      <c r="B237" s="55" t="s">
        <v>222</v>
      </c>
      <c r="C237" s="272">
        <v>7962915</v>
      </c>
      <c r="D237" s="272">
        <v>85339</v>
      </c>
      <c r="E237" s="272">
        <v>71181</v>
      </c>
      <c r="F237" s="272">
        <v>1490061</v>
      </c>
      <c r="G237" s="272">
        <v>584683</v>
      </c>
      <c r="H237" s="272">
        <v>2231264</v>
      </c>
      <c r="I237" s="272"/>
      <c r="J237" s="272">
        <v>831761</v>
      </c>
      <c r="K237" s="272">
        <v>5049579</v>
      </c>
      <c r="L237" s="147">
        <v>1054721</v>
      </c>
      <c r="M237" s="272">
        <v>6936061</v>
      </c>
      <c r="N237" s="273"/>
      <c r="O237" s="273">
        <v>-1620904</v>
      </c>
      <c r="P237" s="273">
        <v>-517078</v>
      </c>
      <c r="Q237" s="273">
        <v>-2137982</v>
      </c>
    </row>
    <row r="238" spans="1:17" ht="12" customHeight="1">
      <c r="A238" s="53">
        <v>3290</v>
      </c>
      <c r="B238" s="54" t="s">
        <v>223</v>
      </c>
      <c r="C238" s="271">
        <v>16220596</v>
      </c>
      <c r="D238" s="271">
        <v>173837</v>
      </c>
      <c r="E238" s="271">
        <v>144996</v>
      </c>
      <c r="F238" s="271">
        <v>3035280</v>
      </c>
      <c r="G238" s="271">
        <v>2421619</v>
      </c>
      <c r="H238" s="271">
        <v>5775732</v>
      </c>
      <c r="I238" s="271"/>
      <c r="J238" s="271">
        <v>1694312</v>
      </c>
      <c r="K238" s="271">
        <v>10286079</v>
      </c>
      <c r="L238" s="271">
        <v>3827897</v>
      </c>
      <c r="M238" s="271">
        <v>15808288</v>
      </c>
      <c r="N238" s="69"/>
      <c r="O238" s="69">
        <v>-3301810</v>
      </c>
      <c r="P238" s="69">
        <v>-1252007</v>
      </c>
      <c r="Q238" s="69">
        <v>-4553817</v>
      </c>
    </row>
    <row r="239" spans="1:17" ht="12" customHeight="1">
      <c r="A239" s="51">
        <v>1002</v>
      </c>
      <c r="B239" s="55" t="s">
        <v>224</v>
      </c>
      <c r="C239" s="272">
        <v>28823769</v>
      </c>
      <c r="D239" s="272">
        <v>308906</v>
      </c>
      <c r="E239" s="272">
        <v>257657</v>
      </c>
      <c r="F239" s="272">
        <v>5393649</v>
      </c>
      <c r="G239" s="272">
        <v>495904</v>
      </c>
      <c r="H239" s="272">
        <v>6456116</v>
      </c>
      <c r="I239" s="272"/>
      <c r="J239" s="272">
        <v>3010769</v>
      </c>
      <c r="K239" s="272">
        <v>18278217</v>
      </c>
      <c r="L239" s="272">
        <v>3959865</v>
      </c>
      <c r="M239" s="272">
        <v>25248851</v>
      </c>
      <c r="N239" s="273"/>
      <c r="O239" s="273">
        <v>-5867270</v>
      </c>
      <c r="P239" s="273">
        <v>-502615</v>
      </c>
      <c r="Q239" s="273">
        <v>-6369885</v>
      </c>
    </row>
    <row r="240" spans="1:17" ht="12" customHeight="1">
      <c r="A240" s="53">
        <v>4270</v>
      </c>
      <c r="B240" s="54" t="s">
        <v>413</v>
      </c>
      <c r="C240" s="271">
        <v>604385</v>
      </c>
      <c r="D240" s="271">
        <v>6477</v>
      </c>
      <c r="E240" s="271">
        <v>5403</v>
      </c>
      <c r="F240" s="271">
        <v>113095</v>
      </c>
      <c r="G240" s="271">
        <v>617364</v>
      </c>
      <c r="H240" s="271">
        <v>742339</v>
      </c>
      <c r="I240" s="271"/>
      <c r="J240" s="271">
        <v>63131</v>
      </c>
      <c r="K240" s="271">
        <v>383263</v>
      </c>
      <c r="L240" s="148">
        <v>107295</v>
      </c>
      <c r="M240" s="271">
        <v>553689</v>
      </c>
      <c r="N240" s="69"/>
      <c r="O240" s="69">
        <v>-123026</v>
      </c>
      <c r="P240" s="69">
        <v>279632</v>
      </c>
      <c r="Q240" s="69">
        <v>156606</v>
      </c>
    </row>
    <row r="241" spans="1:17" ht="12" customHeight="1">
      <c r="A241" s="51">
        <v>24072</v>
      </c>
      <c r="B241" s="55" t="s">
        <v>225</v>
      </c>
      <c r="C241" s="272">
        <v>2163315</v>
      </c>
      <c r="D241" s="272">
        <v>23184</v>
      </c>
      <c r="E241" s="272">
        <v>19338</v>
      </c>
      <c r="F241" s="272">
        <v>404810</v>
      </c>
      <c r="G241" s="147">
        <v>415547</v>
      </c>
      <c r="H241" s="272">
        <v>862879</v>
      </c>
      <c r="I241" s="272"/>
      <c r="J241" s="272">
        <v>225968</v>
      </c>
      <c r="K241" s="272">
        <v>1371838</v>
      </c>
      <c r="L241" s="147">
        <v>291920</v>
      </c>
      <c r="M241" s="272">
        <v>1889726</v>
      </c>
      <c r="N241" s="273"/>
      <c r="O241" s="273">
        <v>-440357</v>
      </c>
      <c r="P241" s="273">
        <v>136813</v>
      </c>
      <c r="Q241" s="273">
        <v>-303544</v>
      </c>
    </row>
    <row r="242" spans="1:17" ht="12" customHeight="1">
      <c r="A242" s="53">
        <v>14366</v>
      </c>
      <c r="B242" s="54" t="s">
        <v>226</v>
      </c>
      <c r="C242" s="271">
        <v>1365191</v>
      </c>
      <c r="D242" s="271">
        <v>14631</v>
      </c>
      <c r="E242" s="271">
        <v>12203</v>
      </c>
      <c r="F242" s="271">
        <v>255461</v>
      </c>
      <c r="G242" s="271">
        <v>627596</v>
      </c>
      <c r="H242" s="271">
        <v>909891</v>
      </c>
      <c r="I242" s="271"/>
      <c r="J242" s="271">
        <v>142600</v>
      </c>
      <c r="K242" s="271">
        <v>865718</v>
      </c>
      <c r="L242" s="271">
        <v>160954</v>
      </c>
      <c r="M242" s="271">
        <v>1169272</v>
      </c>
      <c r="N242" s="69"/>
      <c r="O242" s="69">
        <v>-277894</v>
      </c>
      <c r="P242" s="69">
        <v>171435</v>
      </c>
      <c r="Q242" s="69">
        <v>-106459</v>
      </c>
    </row>
    <row r="243" spans="1:17" ht="12" customHeight="1">
      <c r="A243" s="51">
        <v>4317</v>
      </c>
      <c r="B243" s="55" t="s">
        <v>227</v>
      </c>
      <c r="C243" s="272">
        <v>380179</v>
      </c>
      <c r="D243" s="272">
        <v>4074</v>
      </c>
      <c r="E243" s="272">
        <v>3398</v>
      </c>
      <c r="F243" s="272">
        <v>71141</v>
      </c>
      <c r="G243" s="272">
        <v>250623</v>
      </c>
      <c r="H243" s="272">
        <v>329236</v>
      </c>
      <c r="I243" s="272"/>
      <c r="J243" s="272">
        <v>39711</v>
      </c>
      <c r="K243" s="272">
        <v>241085</v>
      </c>
      <c r="L243" s="272">
        <v>49144</v>
      </c>
      <c r="M243" s="272">
        <v>329940</v>
      </c>
      <c r="N243" s="273"/>
      <c r="O243" s="273">
        <v>-77388</v>
      </c>
      <c r="P243" s="273">
        <v>108980</v>
      </c>
      <c r="Q243" s="273">
        <v>31592</v>
      </c>
    </row>
    <row r="244" spans="1:17" ht="12" customHeight="1">
      <c r="A244" s="53">
        <v>2433</v>
      </c>
      <c r="B244" s="54" t="s">
        <v>228</v>
      </c>
      <c r="C244" s="271">
        <v>755943</v>
      </c>
      <c r="D244" s="271">
        <v>8101</v>
      </c>
      <c r="E244" s="271">
        <v>6757</v>
      </c>
      <c r="F244" s="271">
        <v>141456</v>
      </c>
      <c r="G244" s="271">
        <v>531057</v>
      </c>
      <c r="H244" s="271">
        <v>687371</v>
      </c>
      <c r="I244" s="271"/>
      <c r="J244" s="271">
        <v>78962</v>
      </c>
      <c r="K244" s="271">
        <v>479372</v>
      </c>
      <c r="L244" s="271">
        <v>0</v>
      </c>
      <c r="M244" s="271">
        <v>558334</v>
      </c>
      <c r="N244" s="69"/>
      <c r="O244" s="69">
        <v>-153877</v>
      </c>
      <c r="P244" s="69">
        <v>209392</v>
      </c>
      <c r="Q244" s="69">
        <v>55515</v>
      </c>
    </row>
    <row r="245" spans="1:17" ht="12" customHeight="1">
      <c r="A245" s="51">
        <v>3300</v>
      </c>
      <c r="B245" s="55" t="s">
        <v>414</v>
      </c>
      <c r="C245" s="272">
        <v>1093688</v>
      </c>
      <c r="D245" s="272">
        <v>11721</v>
      </c>
      <c r="E245" s="272">
        <v>9777</v>
      </c>
      <c r="F245" s="272">
        <v>204656</v>
      </c>
      <c r="G245" s="272">
        <v>115792</v>
      </c>
      <c r="H245" s="272">
        <v>341946</v>
      </c>
      <c r="I245" s="272"/>
      <c r="J245" s="272">
        <v>114241</v>
      </c>
      <c r="K245" s="272">
        <v>693548</v>
      </c>
      <c r="L245" s="272">
        <v>178827</v>
      </c>
      <c r="M245" s="272">
        <v>986616</v>
      </c>
      <c r="N245" s="273"/>
      <c r="O245" s="273">
        <v>-222628</v>
      </c>
      <c r="P245" s="273">
        <v>-37463</v>
      </c>
      <c r="Q245" s="273">
        <v>-260091</v>
      </c>
    </row>
    <row r="246" spans="1:17" ht="12" customHeight="1">
      <c r="A246" s="53">
        <v>8026</v>
      </c>
      <c r="B246" s="54" t="s">
        <v>230</v>
      </c>
      <c r="C246" s="271">
        <v>5854170</v>
      </c>
      <c r="D246" s="271">
        <v>62739</v>
      </c>
      <c r="E246" s="271">
        <v>52331</v>
      </c>
      <c r="F246" s="271">
        <v>1095462</v>
      </c>
      <c r="G246" s="271">
        <v>26170</v>
      </c>
      <c r="H246" s="271">
        <v>1236702</v>
      </c>
      <c r="I246" s="271"/>
      <c r="J246" s="271">
        <v>611494</v>
      </c>
      <c r="K246" s="271">
        <v>3712345</v>
      </c>
      <c r="L246" s="148">
        <v>695421</v>
      </c>
      <c r="M246" s="271">
        <v>5019260</v>
      </c>
      <c r="N246" s="69"/>
      <c r="O246" s="69">
        <v>-1191655</v>
      </c>
      <c r="P246" s="69">
        <v>-323430</v>
      </c>
      <c r="Q246" s="69">
        <v>-1515085</v>
      </c>
    </row>
    <row r="247" spans="1:17" ht="12" customHeight="1">
      <c r="A247" s="51">
        <v>13438</v>
      </c>
      <c r="B247" s="55" t="s">
        <v>231</v>
      </c>
      <c r="C247" s="272">
        <v>176699</v>
      </c>
      <c r="D247" s="272">
        <v>1894</v>
      </c>
      <c r="E247" s="272">
        <v>1580</v>
      </c>
      <c r="F247" s="272">
        <v>33065</v>
      </c>
      <c r="G247" s="272">
        <v>56915</v>
      </c>
      <c r="H247" s="272">
        <v>93454</v>
      </c>
      <c r="I247" s="272"/>
      <c r="J247" s="272">
        <v>18457</v>
      </c>
      <c r="K247" s="272">
        <v>112052</v>
      </c>
      <c r="L247" s="147">
        <v>106003</v>
      </c>
      <c r="M247" s="272">
        <v>236512</v>
      </c>
      <c r="N247" s="273"/>
      <c r="O247" s="273">
        <v>-35968</v>
      </c>
      <c r="P247" s="273">
        <v>10532</v>
      </c>
      <c r="Q247" s="273">
        <v>-25436</v>
      </c>
    </row>
    <row r="248" spans="1:17" ht="12" customHeight="1">
      <c r="A248" s="53">
        <v>25076</v>
      </c>
      <c r="B248" s="54" t="s">
        <v>232</v>
      </c>
      <c r="C248" s="271">
        <v>3686861</v>
      </c>
      <c r="D248" s="271">
        <v>39512</v>
      </c>
      <c r="E248" s="271">
        <v>32957</v>
      </c>
      <c r="F248" s="271">
        <v>689904</v>
      </c>
      <c r="G248" s="271">
        <v>322963</v>
      </c>
      <c r="H248" s="271">
        <v>1085336</v>
      </c>
      <c r="I248" s="271"/>
      <c r="J248" s="271">
        <v>385109</v>
      </c>
      <c r="K248" s="271">
        <v>2337975</v>
      </c>
      <c r="L248" s="148">
        <v>421687</v>
      </c>
      <c r="M248" s="271">
        <v>3144771</v>
      </c>
      <c r="N248" s="69"/>
      <c r="O248" s="69">
        <v>-750485</v>
      </c>
      <c r="P248" s="69">
        <v>6443</v>
      </c>
      <c r="Q248" s="69">
        <v>-744042</v>
      </c>
    </row>
    <row r="249" spans="1:17" ht="12" customHeight="1">
      <c r="A249" s="51">
        <v>2440</v>
      </c>
      <c r="B249" s="55" t="s">
        <v>396</v>
      </c>
      <c r="C249" s="272">
        <v>858790</v>
      </c>
      <c r="D249" s="272">
        <v>9204</v>
      </c>
      <c r="E249" s="272">
        <v>7677</v>
      </c>
      <c r="F249" s="272">
        <v>160701</v>
      </c>
      <c r="G249" s="272">
        <v>914301</v>
      </c>
      <c r="H249" s="272">
        <v>1091883</v>
      </c>
      <c r="I249" s="272"/>
      <c r="J249" s="272">
        <v>89704</v>
      </c>
      <c r="K249" s="272">
        <v>544590</v>
      </c>
      <c r="L249" s="147">
        <v>0</v>
      </c>
      <c r="M249" s="272">
        <v>634294</v>
      </c>
      <c r="N249" s="273"/>
      <c r="O249" s="273">
        <v>-174812</v>
      </c>
      <c r="P249" s="273">
        <v>343111</v>
      </c>
      <c r="Q249" s="273">
        <v>168299</v>
      </c>
    </row>
    <row r="250" spans="1:17" ht="12" customHeight="1">
      <c r="A250" s="53">
        <v>2309</v>
      </c>
      <c r="B250" s="54" t="s">
        <v>233</v>
      </c>
      <c r="C250" s="271">
        <v>1631185</v>
      </c>
      <c r="D250" s="271">
        <v>17481</v>
      </c>
      <c r="E250" s="271">
        <v>14581</v>
      </c>
      <c r="F250" s="271">
        <v>305236</v>
      </c>
      <c r="G250" s="271">
        <v>275549</v>
      </c>
      <c r="H250" s="271">
        <v>612847</v>
      </c>
      <c r="I250" s="271"/>
      <c r="J250" s="271">
        <v>170384</v>
      </c>
      <c r="K250" s="271">
        <v>1034395</v>
      </c>
      <c r="L250" s="148">
        <v>50970</v>
      </c>
      <c r="M250" s="271">
        <v>1255749</v>
      </c>
      <c r="N250" s="69"/>
      <c r="O250" s="69">
        <v>-332039</v>
      </c>
      <c r="P250" s="69">
        <v>84243</v>
      </c>
      <c r="Q250" s="69">
        <v>-247796</v>
      </c>
    </row>
    <row r="251" spans="1:17" ht="12" customHeight="1">
      <c r="A251" s="51">
        <v>2396</v>
      </c>
      <c r="B251" s="52" t="s">
        <v>234</v>
      </c>
      <c r="C251" s="115">
        <v>413952</v>
      </c>
      <c r="D251" s="115">
        <v>4436</v>
      </c>
      <c r="E251" s="115">
        <v>3700</v>
      </c>
      <c r="F251" s="115">
        <v>77461</v>
      </c>
      <c r="G251" s="115">
        <v>118572</v>
      </c>
      <c r="H251" s="115">
        <v>204169</v>
      </c>
      <c r="I251" s="115"/>
      <c r="J251" s="115">
        <v>43239</v>
      </c>
      <c r="K251" s="115">
        <v>262502</v>
      </c>
      <c r="L251" s="117">
        <v>83839</v>
      </c>
      <c r="M251" s="115">
        <v>389580</v>
      </c>
      <c r="N251" s="116"/>
      <c r="O251" s="116">
        <v>-84263</v>
      </c>
      <c r="P251" s="116">
        <v>53089</v>
      </c>
      <c r="Q251" s="116">
        <v>-31174</v>
      </c>
    </row>
    <row r="252" spans="1:17" ht="12" customHeight="1">
      <c r="A252" s="53" t="s">
        <v>721</v>
      </c>
      <c r="B252" s="54" t="s">
        <v>455</v>
      </c>
      <c r="C252" s="271">
        <v>2985221</v>
      </c>
      <c r="D252" s="271">
        <v>31993</v>
      </c>
      <c r="E252" s="271">
        <v>26685</v>
      </c>
      <c r="F252" s="271">
        <v>558610</v>
      </c>
      <c r="G252" s="271">
        <v>4484124</v>
      </c>
      <c r="H252" s="271">
        <v>5101412</v>
      </c>
      <c r="I252" s="271"/>
      <c r="J252" s="271">
        <v>311819</v>
      </c>
      <c r="K252" s="271">
        <v>1893039</v>
      </c>
      <c r="L252" s="271">
        <v>0</v>
      </c>
      <c r="M252" s="271">
        <v>2204858</v>
      </c>
      <c r="N252" s="69"/>
      <c r="O252" s="69">
        <v>-607662</v>
      </c>
      <c r="P252" s="69">
        <v>909559</v>
      </c>
      <c r="Q252" s="69">
        <v>301897</v>
      </c>
    </row>
    <row r="253" spans="1:17" ht="12" customHeight="1">
      <c r="A253" s="51">
        <v>3380</v>
      </c>
      <c r="B253" s="55" t="s">
        <v>235</v>
      </c>
      <c r="C253" s="272">
        <v>278621</v>
      </c>
      <c r="D253" s="272">
        <v>2986</v>
      </c>
      <c r="E253" s="272">
        <v>2491</v>
      </c>
      <c r="F253" s="272">
        <v>52137</v>
      </c>
      <c r="G253" s="272">
        <v>24658</v>
      </c>
      <c r="H253" s="272">
        <v>82272</v>
      </c>
      <c r="I253" s="272"/>
      <c r="J253" s="272">
        <v>29103</v>
      </c>
      <c r="K253" s="272">
        <v>176684</v>
      </c>
      <c r="L253" s="272">
        <v>77119</v>
      </c>
      <c r="M253" s="272">
        <v>282906</v>
      </c>
      <c r="N253" s="273"/>
      <c r="O253" s="273">
        <v>-56715</v>
      </c>
      <c r="P253" s="273">
        <v>-13481</v>
      </c>
      <c r="Q253" s="273">
        <v>-70196</v>
      </c>
    </row>
    <row r="254" spans="1:17" ht="12" customHeight="1">
      <c r="A254" s="53">
        <v>2420</v>
      </c>
      <c r="B254" s="54" t="s">
        <v>236</v>
      </c>
      <c r="C254" s="271">
        <v>474099</v>
      </c>
      <c r="D254" s="271">
        <v>5081</v>
      </c>
      <c r="E254" s="271">
        <v>4238</v>
      </c>
      <c r="F254" s="271">
        <v>88716</v>
      </c>
      <c r="G254" s="271">
        <v>74294</v>
      </c>
      <c r="H254" s="271">
        <v>172329</v>
      </c>
      <c r="I254" s="271"/>
      <c r="J254" s="271">
        <v>49522</v>
      </c>
      <c r="K254" s="271">
        <v>300644</v>
      </c>
      <c r="L254" s="271">
        <v>86354</v>
      </c>
      <c r="M254" s="271">
        <v>436520</v>
      </c>
      <c r="N254" s="69"/>
      <c r="O254" s="69">
        <v>-96506</v>
      </c>
      <c r="P254" s="69">
        <v>-10961</v>
      </c>
      <c r="Q254" s="69">
        <v>-107467</v>
      </c>
    </row>
    <row r="255" spans="1:17" ht="12" customHeight="1">
      <c r="A255" s="51">
        <v>2740</v>
      </c>
      <c r="B255" s="55" t="s">
        <v>237</v>
      </c>
      <c r="C255" s="272">
        <v>49090</v>
      </c>
      <c r="D255" s="272">
        <v>526</v>
      </c>
      <c r="E255" s="272">
        <v>439</v>
      </c>
      <c r="F255" s="272">
        <v>9186</v>
      </c>
      <c r="G255" s="272">
        <v>32211</v>
      </c>
      <c r="H255" s="272">
        <v>42362</v>
      </c>
      <c r="I255" s="272"/>
      <c r="J255" s="272">
        <v>5128</v>
      </c>
      <c r="K255" s="272">
        <v>31130</v>
      </c>
      <c r="L255" s="272">
        <v>67981</v>
      </c>
      <c r="M255" s="272">
        <v>104239</v>
      </c>
      <c r="N255" s="273"/>
      <c r="O255" s="273">
        <v>-9993</v>
      </c>
      <c r="P255" s="273">
        <v>-8427</v>
      </c>
      <c r="Q255" s="273">
        <v>-18420</v>
      </c>
    </row>
    <row r="256" spans="1:17" ht="12" customHeight="1">
      <c r="A256" s="53">
        <v>2346</v>
      </c>
      <c r="B256" s="54" t="s">
        <v>238</v>
      </c>
      <c r="C256" s="271">
        <v>307111</v>
      </c>
      <c r="D256" s="271">
        <v>3291</v>
      </c>
      <c r="E256" s="271">
        <v>2745</v>
      </c>
      <c r="F256" s="271">
        <v>57468</v>
      </c>
      <c r="G256" s="271">
        <v>60373</v>
      </c>
      <c r="H256" s="271">
        <v>123877</v>
      </c>
      <c r="I256" s="271"/>
      <c r="J256" s="271">
        <v>32079</v>
      </c>
      <c r="K256" s="271">
        <v>194751</v>
      </c>
      <c r="L256" s="148">
        <v>111522</v>
      </c>
      <c r="M256" s="271">
        <v>338352</v>
      </c>
      <c r="N256" s="69"/>
      <c r="O256" s="69">
        <v>-62515</v>
      </c>
      <c r="P256" s="69">
        <v>11918</v>
      </c>
      <c r="Q256" s="69">
        <v>-50597</v>
      </c>
    </row>
    <row r="257" spans="1:17" ht="12" customHeight="1">
      <c r="A257" s="51">
        <v>21150</v>
      </c>
      <c r="B257" s="55" t="s">
        <v>239</v>
      </c>
      <c r="C257" s="272">
        <v>1378798</v>
      </c>
      <c r="D257" s="272">
        <v>14777</v>
      </c>
      <c r="E257" s="272">
        <v>12325</v>
      </c>
      <c r="F257" s="272">
        <v>258008</v>
      </c>
      <c r="G257" s="147">
        <v>871445</v>
      </c>
      <c r="H257" s="272">
        <v>1156555</v>
      </c>
      <c r="I257" s="272"/>
      <c r="J257" s="272">
        <v>144021</v>
      </c>
      <c r="K257" s="272">
        <v>874347</v>
      </c>
      <c r="L257" s="272">
        <v>15822</v>
      </c>
      <c r="M257" s="272">
        <v>1034190</v>
      </c>
      <c r="N257" s="273"/>
      <c r="O257" s="273">
        <v>-280663</v>
      </c>
      <c r="P257" s="273">
        <v>220616</v>
      </c>
      <c r="Q257" s="273">
        <v>-60047</v>
      </c>
    </row>
    <row r="258" spans="1:17" ht="12" customHeight="1">
      <c r="A258" s="51">
        <v>4520</v>
      </c>
      <c r="B258" s="55" t="s">
        <v>241</v>
      </c>
      <c r="C258" s="272">
        <v>48964</v>
      </c>
      <c r="D258" s="272">
        <v>525</v>
      </c>
      <c r="E258" s="272">
        <v>438</v>
      </c>
      <c r="F258" s="272">
        <v>9162</v>
      </c>
      <c r="G258" s="147">
        <v>4927</v>
      </c>
      <c r="H258" s="272">
        <v>15052</v>
      </c>
      <c r="I258" s="272"/>
      <c r="J258" s="272">
        <v>5115</v>
      </c>
      <c r="K258" s="272">
        <v>31050</v>
      </c>
      <c r="L258" s="272">
        <v>10237</v>
      </c>
      <c r="M258" s="272">
        <v>46402</v>
      </c>
      <c r="N258" s="273"/>
      <c r="O258" s="273">
        <v>-9967</v>
      </c>
      <c r="P258" s="273">
        <v>72</v>
      </c>
      <c r="Q258" s="273">
        <v>-9895</v>
      </c>
    </row>
    <row r="259" spans="1:17" ht="12" customHeight="1">
      <c r="A259" s="53">
        <v>9030</v>
      </c>
      <c r="B259" s="54" t="s">
        <v>242</v>
      </c>
      <c r="C259" s="271">
        <v>473006</v>
      </c>
      <c r="D259" s="271">
        <v>5069</v>
      </c>
      <c r="E259" s="271">
        <v>4228</v>
      </c>
      <c r="F259" s="271">
        <v>88511</v>
      </c>
      <c r="G259" s="271">
        <v>6127</v>
      </c>
      <c r="H259" s="271">
        <v>103935</v>
      </c>
      <c r="I259" s="271"/>
      <c r="J259" s="271">
        <v>49408</v>
      </c>
      <c r="K259" s="271">
        <v>299950</v>
      </c>
      <c r="L259" s="148">
        <v>75447</v>
      </c>
      <c r="M259" s="271">
        <v>424805</v>
      </c>
      <c r="N259" s="69"/>
      <c r="O259" s="69">
        <v>-96283</v>
      </c>
      <c r="P259" s="69">
        <v>-31252</v>
      </c>
      <c r="Q259" s="69">
        <v>-127535</v>
      </c>
    </row>
    <row r="260" spans="1:17" ht="12" customHeight="1">
      <c r="A260" s="51">
        <v>20265</v>
      </c>
      <c r="B260" s="55" t="s">
        <v>243</v>
      </c>
      <c r="C260" s="272">
        <v>681236</v>
      </c>
      <c r="D260" s="272">
        <v>7301</v>
      </c>
      <c r="E260" s="272">
        <v>6090</v>
      </c>
      <c r="F260" s="272">
        <v>127476</v>
      </c>
      <c r="G260" s="272">
        <v>274306</v>
      </c>
      <c r="H260" s="272">
        <v>415173</v>
      </c>
      <c r="I260" s="272"/>
      <c r="J260" s="272">
        <v>71158</v>
      </c>
      <c r="K260" s="272">
        <v>431997</v>
      </c>
      <c r="L260" s="272">
        <v>67463</v>
      </c>
      <c r="M260" s="272">
        <v>570618</v>
      </c>
      <c r="N260" s="273"/>
      <c r="O260" s="273">
        <v>-138670</v>
      </c>
      <c r="P260" s="273">
        <v>64806</v>
      </c>
      <c r="Q260" s="273">
        <v>-73864</v>
      </c>
    </row>
    <row r="261" spans="1:17" ht="12" customHeight="1">
      <c r="A261" s="53">
        <v>20307</v>
      </c>
      <c r="B261" s="54" t="s">
        <v>244</v>
      </c>
      <c r="C261" s="271">
        <v>572643</v>
      </c>
      <c r="D261" s="271">
        <v>6137</v>
      </c>
      <c r="E261" s="271">
        <v>5119</v>
      </c>
      <c r="F261" s="271">
        <v>107156</v>
      </c>
      <c r="G261" s="271">
        <v>179152</v>
      </c>
      <c r="H261" s="271">
        <v>297564</v>
      </c>
      <c r="I261" s="271"/>
      <c r="J261" s="271">
        <v>59815</v>
      </c>
      <c r="K261" s="271">
        <v>363134</v>
      </c>
      <c r="L261" s="271">
        <v>0</v>
      </c>
      <c r="M261" s="271">
        <v>422949</v>
      </c>
      <c r="N261" s="69"/>
      <c r="O261" s="69">
        <v>-116565</v>
      </c>
      <c r="P261" s="69">
        <v>45029</v>
      </c>
      <c r="Q261" s="69">
        <v>-71536</v>
      </c>
    </row>
    <row r="262" spans="1:17" ht="12" customHeight="1">
      <c r="A262" s="51">
        <v>3320</v>
      </c>
      <c r="B262" s="55" t="s">
        <v>245</v>
      </c>
      <c r="C262" s="272">
        <v>3547144</v>
      </c>
      <c r="D262" s="272">
        <v>38015</v>
      </c>
      <c r="E262" s="272">
        <v>31708</v>
      </c>
      <c r="F262" s="272">
        <v>663759</v>
      </c>
      <c r="G262" s="272">
        <v>784203</v>
      </c>
      <c r="H262" s="272">
        <v>1517685</v>
      </c>
      <c r="I262" s="272"/>
      <c r="J262" s="272">
        <v>370515</v>
      </c>
      <c r="K262" s="272">
        <v>2249375</v>
      </c>
      <c r="L262" s="147">
        <v>756412</v>
      </c>
      <c r="M262" s="272">
        <v>3376302</v>
      </c>
      <c r="N262" s="273"/>
      <c r="O262" s="273">
        <v>-722045</v>
      </c>
      <c r="P262" s="273">
        <v>-225949</v>
      </c>
      <c r="Q262" s="273">
        <v>-947994</v>
      </c>
    </row>
    <row r="263" spans="1:17" ht="12" customHeight="1">
      <c r="A263" s="53">
        <v>20415</v>
      </c>
      <c r="B263" s="54" t="s">
        <v>246</v>
      </c>
      <c r="C263" s="271">
        <v>420735</v>
      </c>
      <c r="D263" s="271">
        <v>4509</v>
      </c>
      <c r="E263" s="271">
        <v>3761</v>
      </c>
      <c r="F263" s="271">
        <v>78730</v>
      </c>
      <c r="G263" s="271">
        <v>148925</v>
      </c>
      <c r="H263" s="271">
        <v>235925</v>
      </c>
      <c r="I263" s="271"/>
      <c r="J263" s="271">
        <v>43948</v>
      </c>
      <c r="K263" s="271">
        <v>266803</v>
      </c>
      <c r="L263" s="271">
        <v>51636</v>
      </c>
      <c r="M263" s="271">
        <v>362387</v>
      </c>
      <c r="N263" s="69"/>
      <c r="O263" s="69">
        <v>-85643</v>
      </c>
      <c r="P263" s="69">
        <v>44287</v>
      </c>
      <c r="Q263" s="69">
        <v>-41356</v>
      </c>
    </row>
    <row r="264" spans="1:17" ht="12" customHeight="1">
      <c r="A264" s="51">
        <v>20435</v>
      </c>
      <c r="B264" s="55" t="s">
        <v>407</v>
      </c>
      <c r="C264" s="272">
        <v>472627</v>
      </c>
      <c r="D264" s="272">
        <v>5065</v>
      </c>
      <c r="E264" s="272">
        <v>4225</v>
      </c>
      <c r="F264" s="272">
        <v>88440</v>
      </c>
      <c r="G264" s="272">
        <v>235183</v>
      </c>
      <c r="H264" s="272">
        <v>332913</v>
      </c>
      <c r="I264" s="272"/>
      <c r="J264" s="272">
        <v>49368</v>
      </c>
      <c r="K264" s="272">
        <v>299710</v>
      </c>
      <c r="L264" s="272">
        <v>154230</v>
      </c>
      <c r="M264" s="272">
        <v>503308</v>
      </c>
      <c r="N264" s="273"/>
      <c r="O264" s="273">
        <v>-96206</v>
      </c>
      <c r="P264" s="273">
        <v>28210</v>
      </c>
      <c r="Q264" s="273">
        <v>-67996</v>
      </c>
    </row>
    <row r="265" spans="1:17" ht="12" customHeight="1">
      <c r="A265" s="53">
        <v>20062</v>
      </c>
      <c r="B265" s="54" t="s">
        <v>247</v>
      </c>
      <c r="C265" s="271">
        <v>4686041</v>
      </c>
      <c r="D265" s="271">
        <v>50220</v>
      </c>
      <c r="E265" s="271">
        <v>41889</v>
      </c>
      <c r="F265" s="271">
        <v>876876</v>
      </c>
      <c r="G265" s="271">
        <v>205665</v>
      </c>
      <c r="H265" s="271">
        <v>1174650</v>
      </c>
      <c r="I265" s="271"/>
      <c r="J265" s="271">
        <v>489477</v>
      </c>
      <c r="K265" s="271">
        <v>2971591</v>
      </c>
      <c r="L265" s="271">
        <v>1265475</v>
      </c>
      <c r="M265" s="271">
        <v>4726543</v>
      </c>
      <c r="N265" s="69"/>
      <c r="O265" s="69">
        <v>-953875</v>
      </c>
      <c r="P265" s="69">
        <v>-192525</v>
      </c>
      <c r="Q265" s="69">
        <v>-1146400</v>
      </c>
    </row>
    <row r="266" spans="1:17" ht="12" customHeight="1">
      <c r="A266" s="51">
        <v>3410</v>
      </c>
      <c r="B266" s="55" t="s">
        <v>457</v>
      </c>
      <c r="C266" s="272">
        <v>61941</v>
      </c>
      <c r="D266" s="272">
        <v>664</v>
      </c>
      <c r="E266" s="272">
        <v>554</v>
      </c>
      <c r="F266" s="272">
        <v>11591</v>
      </c>
      <c r="G266" s="272">
        <v>93041</v>
      </c>
      <c r="H266" s="272">
        <v>105850</v>
      </c>
      <c r="I266" s="272"/>
      <c r="J266" s="272">
        <v>6470</v>
      </c>
      <c r="K266" s="272">
        <v>39279</v>
      </c>
      <c r="L266" s="147">
        <v>0</v>
      </c>
      <c r="M266" s="272">
        <v>45749</v>
      </c>
      <c r="N266" s="273"/>
      <c r="O266" s="273">
        <v>-12608</v>
      </c>
      <c r="P266" s="273">
        <v>18873</v>
      </c>
      <c r="Q266" s="273">
        <v>6265</v>
      </c>
    </row>
    <row r="267" spans="1:17" ht="12" customHeight="1">
      <c r="A267" s="53">
        <v>6020</v>
      </c>
      <c r="B267" s="54" t="s">
        <v>248</v>
      </c>
      <c r="C267" s="271">
        <v>992047</v>
      </c>
      <c r="D267" s="271">
        <v>10632</v>
      </c>
      <c r="E267" s="271">
        <v>8868</v>
      </c>
      <c r="F267" s="271">
        <v>185637</v>
      </c>
      <c r="G267" s="271">
        <v>69789</v>
      </c>
      <c r="H267" s="271">
        <v>274926</v>
      </c>
      <c r="I267" s="271"/>
      <c r="J267" s="271">
        <v>103624</v>
      </c>
      <c r="K267" s="271">
        <v>629093</v>
      </c>
      <c r="L267" s="271">
        <v>129597</v>
      </c>
      <c r="M267" s="271">
        <v>862314</v>
      </c>
      <c r="N267" s="69"/>
      <c r="O267" s="69">
        <v>-201938</v>
      </c>
      <c r="P267" s="69">
        <v>-993</v>
      </c>
      <c r="Q267" s="69">
        <v>-202931</v>
      </c>
    </row>
    <row r="268" spans="1:17" ht="12" customHeight="1">
      <c r="A268" s="51">
        <v>2394</v>
      </c>
      <c r="B268" s="55" t="s">
        <v>249</v>
      </c>
      <c r="C268" s="272">
        <v>619113</v>
      </c>
      <c r="D268" s="272">
        <v>6635</v>
      </c>
      <c r="E268" s="272">
        <v>5534</v>
      </c>
      <c r="F268" s="272">
        <v>115852</v>
      </c>
      <c r="G268" s="272">
        <v>128098</v>
      </c>
      <c r="H268" s="272">
        <v>256119</v>
      </c>
      <c r="I268" s="272"/>
      <c r="J268" s="272">
        <v>64669</v>
      </c>
      <c r="K268" s="272">
        <v>392602</v>
      </c>
      <c r="L268" s="147">
        <v>26062</v>
      </c>
      <c r="M268" s="272">
        <v>483333</v>
      </c>
      <c r="N268" s="273"/>
      <c r="O268" s="273">
        <v>-126025</v>
      </c>
      <c r="P268" s="273">
        <v>49672</v>
      </c>
      <c r="Q268" s="273">
        <v>-76353</v>
      </c>
    </row>
    <row r="269" spans="1:17" ht="12" customHeight="1">
      <c r="A269" s="53">
        <v>5015</v>
      </c>
      <c r="B269" s="54" t="s">
        <v>250</v>
      </c>
      <c r="C269" s="271">
        <v>1365737</v>
      </c>
      <c r="D269" s="271">
        <v>14637</v>
      </c>
      <c r="E269" s="271">
        <v>12208</v>
      </c>
      <c r="F269" s="271">
        <v>255564</v>
      </c>
      <c r="G269" s="148">
        <v>56039</v>
      </c>
      <c r="H269" s="271">
        <v>338448</v>
      </c>
      <c r="I269" s="271"/>
      <c r="J269" s="271">
        <v>142657</v>
      </c>
      <c r="K269" s="271">
        <v>866064</v>
      </c>
      <c r="L269" s="271">
        <v>197414</v>
      </c>
      <c r="M269" s="271">
        <v>1206135</v>
      </c>
      <c r="N269" s="69"/>
      <c r="O269" s="69">
        <v>-278005</v>
      </c>
      <c r="P269" s="69">
        <v>-9072</v>
      </c>
      <c r="Q269" s="69">
        <v>-287077</v>
      </c>
    </row>
    <row r="270" spans="1:17" ht="12" customHeight="1">
      <c r="A270" s="51">
        <v>29408</v>
      </c>
      <c r="B270" s="55" t="s">
        <v>251</v>
      </c>
      <c r="C270" s="272">
        <v>1016823</v>
      </c>
      <c r="D270" s="272">
        <v>10897</v>
      </c>
      <c r="E270" s="272">
        <v>9089</v>
      </c>
      <c r="F270" s="272">
        <v>190273</v>
      </c>
      <c r="G270" s="272">
        <v>190900</v>
      </c>
      <c r="H270" s="272">
        <v>401159</v>
      </c>
      <c r="I270" s="272"/>
      <c r="J270" s="272">
        <v>106212</v>
      </c>
      <c r="K270" s="272">
        <v>644805</v>
      </c>
      <c r="L270" s="147">
        <v>56608</v>
      </c>
      <c r="M270" s="272">
        <v>807625</v>
      </c>
      <c r="N270" s="273"/>
      <c r="O270" s="273">
        <v>-206981</v>
      </c>
      <c r="P270" s="273">
        <v>79336</v>
      </c>
      <c r="Q270" s="273">
        <v>-127645</v>
      </c>
    </row>
    <row r="271" spans="1:17" ht="12" customHeight="1">
      <c r="A271" s="53">
        <v>2413</v>
      </c>
      <c r="B271" s="54" t="s">
        <v>252</v>
      </c>
      <c r="C271" s="271">
        <v>180413</v>
      </c>
      <c r="D271" s="271">
        <v>1933</v>
      </c>
      <c r="E271" s="271">
        <v>1613</v>
      </c>
      <c r="F271" s="271">
        <v>33760</v>
      </c>
      <c r="G271" s="148">
        <v>72541</v>
      </c>
      <c r="H271" s="271">
        <v>109847</v>
      </c>
      <c r="I271" s="271"/>
      <c r="J271" s="271">
        <v>18845</v>
      </c>
      <c r="K271" s="271">
        <v>114406</v>
      </c>
      <c r="L271" s="271">
        <v>229844</v>
      </c>
      <c r="M271" s="271">
        <v>363095</v>
      </c>
      <c r="N271" s="69"/>
      <c r="O271" s="69">
        <v>-36724</v>
      </c>
      <c r="P271" s="69">
        <v>-55210</v>
      </c>
      <c r="Q271" s="69">
        <v>-91934</v>
      </c>
    </row>
    <row r="272" spans="1:17" ht="12" customHeight="1">
      <c r="A272" s="51">
        <v>1398</v>
      </c>
      <c r="B272" s="55" t="s">
        <v>253</v>
      </c>
      <c r="C272" s="272">
        <v>614082</v>
      </c>
      <c r="D272" s="272">
        <v>6581</v>
      </c>
      <c r="E272" s="272">
        <v>5489</v>
      </c>
      <c r="F272" s="272">
        <v>114910</v>
      </c>
      <c r="G272" s="272">
        <v>347892</v>
      </c>
      <c r="H272" s="272">
        <v>474872</v>
      </c>
      <c r="I272" s="272"/>
      <c r="J272" s="272">
        <v>64144</v>
      </c>
      <c r="K272" s="272">
        <v>389412</v>
      </c>
      <c r="L272" s="147">
        <v>107697</v>
      </c>
      <c r="M272" s="272">
        <v>561253</v>
      </c>
      <c r="N272" s="273"/>
      <c r="O272" s="273">
        <v>-125000</v>
      </c>
      <c r="P272" s="273">
        <v>60980</v>
      </c>
      <c r="Q272" s="273">
        <v>-64020</v>
      </c>
    </row>
    <row r="273" spans="1:17" ht="12" customHeight="1">
      <c r="A273" s="53">
        <v>2366</v>
      </c>
      <c r="B273" s="54" t="s">
        <v>254</v>
      </c>
      <c r="C273" s="271">
        <v>379716</v>
      </c>
      <c r="D273" s="271">
        <v>4069</v>
      </c>
      <c r="E273" s="271">
        <v>3394</v>
      </c>
      <c r="F273" s="271">
        <v>71054</v>
      </c>
      <c r="G273" s="271">
        <v>13150</v>
      </c>
      <c r="H273" s="271">
        <v>91667</v>
      </c>
      <c r="I273" s="271"/>
      <c r="J273" s="271">
        <v>39663</v>
      </c>
      <c r="K273" s="271">
        <v>240792</v>
      </c>
      <c r="L273" s="271">
        <v>158662</v>
      </c>
      <c r="M273" s="271">
        <v>439117</v>
      </c>
      <c r="N273" s="69"/>
      <c r="O273" s="69">
        <v>-77294</v>
      </c>
      <c r="P273" s="69">
        <v>-55251</v>
      </c>
      <c r="Q273" s="69">
        <v>-132545</v>
      </c>
    </row>
    <row r="274" spans="1:17" ht="12" customHeight="1">
      <c r="A274" s="51">
        <v>7421</v>
      </c>
      <c r="B274" s="55" t="s">
        <v>255</v>
      </c>
      <c r="C274" s="272">
        <v>343687</v>
      </c>
      <c r="D274" s="272">
        <v>3683</v>
      </c>
      <c r="E274" s="272">
        <v>3072</v>
      </c>
      <c r="F274" s="272">
        <v>64312</v>
      </c>
      <c r="G274" s="272">
        <v>62697</v>
      </c>
      <c r="H274" s="272">
        <v>133764</v>
      </c>
      <c r="I274" s="272"/>
      <c r="J274" s="272">
        <v>35900</v>
      </c>
      <c r="K274" s="272">
        <v>217945</v>
      </c>
      <c r="L274" s="272">
        <v>161517</v>
      </c>
      <c r="M274" s="272">
        <v>415362</v>
      </c>
      <c r="N274" s="273"/>
      <c r="O274" s="273">
        <v>-69960</v>
      </c>
      <c r="P274" s="273">
        <v>-44122</v>
      </c>
      <c r="Q274" s="273">
        <v>-114082</v>
      </c>
    </row>
    <row r="275" spans="1:17" ht="12" customHeight="1">
      <c r="A275" s="53">
        <v>1425</v>
      </c>
      <c r="B275" s="54" t="s">
        <v>426</v>
      </c>
      <c r="C275" s="271">
        <v>573568</v>
      </c>
      <c r="D275" s="271">
        <v>6147</v>
      </c>
      <c r="E275" s="271">
        <v>5127</v>
      </c>
      <c r="F275" s="271">
        <v>107329</v>
      </c>
      <c r="G275" s="271">
        <v>828310</v>
      </c>
      <c r="H275" s="271">
        <v>946913</v>
      </c>
      <c r="I275" s="271"/>
      <c r="J275" s="271">
        <v>59912</v>
      </c>
      <c r="K275" s="271">
        <v>363721</v>
      </c>
      <c r="L275" s="271">
        <v>0</v>
      </c>
      <c r="M275" s="271">
        <v>423633</v>
      </c>
      <c r="N275" s="69"/>
      <c r="O275" s="69">
        <v>-116754</v>
      </c>
      <c r="P275" s="69">
        <v>193434</v>
      </c>
      <c r="Q275" s="69">
        <v>76680</v>
      </c>
    </row>
    <row r="276" spans="1:17" ht="12" customHeight="1">
      <c r="A276" s="51">
        <v>2370</v>
      </c>
      <c r="B276" s="55" t="s">
        <v>256</v>
      </c>
      <c r="C276" s="272">
        <v>534442</v>
      </c>
      <c r="D276" s="272">
        <v>5728</v>
      </c>
      <c r="E276" s="272">
        <v>4777</v>
      </c>
      <c r="F276" s="272">
        <v>100007</v>
      </c>
      <c r="G276" s="272">
        <v>46367</v>
      </c>
      <c r="H276" s="272">
        <v>156879</v>
      </c>
      <c r="I276" s="272"/>
      <c r="J276" s="272">
        <v>55825</v>
      </c>
      <c r="K276" s="272">
        <v>338909</v>
      </c>
      <c r="L276" s="272">
        <v>243888</v>
      </c>
      <c r="M276" s="272">
        <v>638622</v>
      </c>
      <c r="N276" s="273"/>
      <c r="O276" s="273">
        <v>-108789</v>
      </c>
      <c r="P276" s="273">
        <v>-25723</v>
      </c>
      <c r="Q276" s="273">
        <v>-134512</v>
      </c>
    </row>
    <row r="277" spans="1:17" ht="12" customHeight="1">
      <c r="A277" s="53">
        <v>1343</v>
      </c>
      <c r="B277" s="54" t="s">
        <v>257</v>
      </c>
      <c r="C277" s="271">
        <v>706138</v>
      </c>
      <c r="D277" s="271">
        <v>7568</v>
      </c>
      <c r="E277" s="271">
        <v>6312</v>
      </c>
      <c r="F277" s="271">
        <v>132136</v>
      </c>
      <c r="G277" s="271">
        <v>90617</v>
      </c>
      <c r="H277" s="271">
        <v>236633</v>
      </c>
      <c r="I277" s="271"/>
      <c r="J277" s="271">
        <v>73759</v>
      </c>
      <c r="K277" s="271">
        <v>447788</v>
      </c>
      <c r="L277" s="148">
        <v>107747</v>
      </c>
      <c r="M277" s="271">
        <v>629294</v>
      </c>
      <c r="N277" s="69"/>
      <c r="O277" s="69">
        <v>-143739</v>
      </c>
      <c r="P277" s="69">
        <v>13032</v>
      </c>
      <c r="Q277" s="69">
        <v>-130707</v>
      </c>
    </row>
    <row r="278" spans="1:17" ht="12" customHeight="1">
      <c r="A278" s="51">
        <v>2790</v>
      </c>
      <c r="B278" s="55" t="s">
        <v>258</v>
      </c>
      <c r="C278" s="272">
        <v>68079</v>
      </c>
      <c r="D278" s="272">
        <v>730</v>
      </c>
      <c r="E278" s="272">
        <v>609</v>
      </c>
      <c r="F278" s="272">
        <v>12739</v>
      </c>
      <c r="G278" s="272">
        <v>16356</v>
      </c>
      <c r="H278" s="272">
        <v>30434</v>
      </c>
      <c r="I278" s="272"/>
      <c r="J278" s="272">
        <v>7111</v>
      </c>
      <c r="K278" s="272">
        <v>43171</v>
      </c>
      <c r="L278" s="147">
        <v>30760</v>
      </c>
      <c r="M278" s="272">
        <v>81042</v>
      </c>
      <c r="N278" s="273"/>
      <c r="O278" s="273">
        <v>-13858</v>
      </c>
      <c r="P278" s="273">
        <v>-8382</v>
      </c>
      <c r="Q278" s="273">
        <v>-22240</v>
      </c>
    </row>
    <row r="279" spans="1:17" ht="12" customHeight="1">
      <c r="A279" s="53">
        <v>3330</v>
      </c>
      <c r="B279" s="54" t="s">
        <v>259</v>
      </c>
      <c r="C279" s="271">
        <v>1523952</v>
      </c>
      <c r="D279" s="271">
        <v>16332</v>
      </c>
      <c r="E279" s="271">
        <v>13623</v>
      </c>
      <c r="F279" s="271">
        <v>285170</v>
      </c>
      <c r="G279" s="271">
        <v>134579</v>
      </c>
      <c r="H279" s="271">
        <v>449704</v>
      </c>
      <c r="I279" s="271"/>
      <c r="J279" s="271">
        <v>159183</v>
      </c>
      <c r="K279" s="271">
        <v>966394</v>
      </c>
      <c r="L279" s="271">
        <v>179926</v>
      </c>
      <c r="M279" s="271">
        <v>1305503</v>
      </c>
      <c r="N279" s="69"/>
      <c r="O279" s="69">
        <v>-310211</v>
      </c>
      <c r="P279" s="69">
        <v>36858</v>
      </c>
      <c r="Q279" s="69">
        <v>-273353</v>
      </c>
    </row>
    <row r="280" spans="1:17" ht="12" customHeight="1">
      <c r="A280" s="51">
        <v>2080</v>
      </c>
      <c r="B280" s="55" t="s">
        <v>260</v>
      </c>
      <c r="C280" s="272">
        <v>1844124</v>
      </c>
      <c r="D280" s="272">
        <v>19764</v>
      </c>
      <c r="E280" s="272">
        <v>16485</v>
      </c>
      <c r="F280" s="272">
        <v>345082</v>
      </c>
      <c r="G280" s="272">
        <v>295749</v>
      </c>
      <c r="H280" s="272">
        <v>677080</v>
      </c>
      <c r="I280" s="272"/>
      <c r="J280" s="272">
        <v>192627</v>
      </c>
      <c r="K280" s="272">
        <v>1169427</v>
      </c>
      <c r="L280" s="272">
        <v>333236</v>
      </c>
      <c r="M280" s="272">
        <v>1695290</v>
      </c>
      <c r="N280" s="273"/>
      <c r="O280" s="273">
        <v>-375384</v>
      </c>
      <c r="P280" s="273">
        <v>21889</v>
      </c>
      <c r="Q280" s="273">
        <v>-353495</v>
      </c>
    </row>
    <row r="281" spans="1:17" ht="12" customHeight="1">
      <c r="A281" s="53">
        <v>4290</v>
      </c>
      <c r="B281" s="54" t="s">
        <v>261</v>
      </c>
      <c r="C281" s="271">
        <v>757134</v>
      </c>
      <c r="D281" s="271">
        <v>8114</v>
      </c>
      <c r="E281" s="271">
        <v>6768</v>
      </c>
      <c r="F281" s="271">
        <v>141679</v>
      </c>
      <c r="G281" s="271">
        <v>210725</v>
      </c>
      <c r="H281" s="271">
        <v>367286</v>
      </c>
      <c r="I281" s="271"/>
      <c r="J281" s="271">
        <v>79086</v>
      </c>
      <c r="K281" s="271">
        <v>480127</v>
      </c>
      <c r="L281" s="271">
        <v>2525</v>
      </c>
      <c r="M281" s="271">
        <v>561738</v>
      </c>
      <c r="N281" s="69"/>
      <c r="O281" s="69">
        <v>-154120</v>
      </c>
      <c r="P281" s="69">
        <v>74513</v>
      </c>
      <c r="Q281" s="69">
        <v>-79607</v>
      </c>
    </row>
    <row r="282" spans="1:17" ht="12" customHeight="1">
      <c r="A282" s="51">
        <v>2270</v>
      </c>
      <c r="B282" s="55" t="s">
        <v>262</v>
      </c>
      <c r="C282" s="272">
        <v>26038</v>
      </c>
      <c r="D282" s="272">
        <v>279</v>
      </c>
      <c r="E282" s="272">
        <v>233</v>
      </c>
      <c r="F282" s="272">
        <v>4872</v>
      </c>
      <c r="G282" s="272">
        <v>52</v>
      </c>
      <c r="H282" s="272">
        <v>5436</v>
      </c>
      <c r="I282" s="272"/>
      <c r="J282" s="272">
        <v>2720</v>
      </c>
      <c r="K282" s="272">
        <v>16511</v>
      </c>
      <c r="L282" s="272">
        <v>27173</v>
      </c>
      <c r="M282" s="272">
        <v>46404</v>
      </c>
      <c r="N282" s="273"/>
      <c r="O282" s="273">
        <v>-5300</v>
      </c>
      <c r="P282" s="273">
        <v>-13198</v>
      </c>
      <c r="Q282" s="273">
        <v>-18498</v>
      </c>
    </row>
    <row r="283" spans="1:17" ht="12" customHeight="1">
      <c r="A283" s="53">
        <v>2300</v>
      </c>
      <c r="B283" s="54" t="s">
        <v>263</v>
      </c>
      <c r="C283" s="271">
        <v>290925</v>
      </c>
      <c r="D283" s="271">
        <v>3118</v>
      </c>
      <c r="E283" s="271">
        <v>2601</v>
      </c>
      <c r="F283" s="271">
        <v>54439</v>
      </c>
      <c r="G283" s="271">
        <v>186664</v>
      </c>
      <c r="H283" s="271">
        <v>246822</v>
      </c>
      <c r="I283" s="271"/>
      <c r="J283" s="271">
        <v>30388</v>
      </c>
      <c r="K283" s="271">
        <v>184486</v>
      </c>
      <c r="L283" s="148">
        <v>12348</v>
      </c>
      <c r="M283" s="271">
        <v>227222</v>
      </c>
      <c r="N283" s="69"/>
      <c r="O283" s="69">
        <v>-59220</v>
      </c>
      <c r="P283" s="69">
        <v>26711</v>
      </c>
      <c r="Q283" s="69">
        <v>-32509</v>
      </c>
    </row>
    <row r="284" spans="1:17" ht="12" customHeight="1">
      <c r="A284" s="51">
        <v>2720</v>
      </c>
      <c r="B284" s="55" t="s">
        <v>264</v>
      </c>
      <c r="C284" s="272">
        <v>2298828</v>
      </c>
      <c r="D284" s="272">
        <v>24637</v>
      </c>
      <c r="E284" s="272">
        <v>20549</v>
      </c>
      <c r="F284" s="272">
        <v>430168</v>
      </c>
      <c r="G284" s="272">
        <v>72416</v>
      </c>
      <c r="H284" s="272">
        <v>547770</v>
      </c>
      <c r="I284" s="272"/>
      <c r="J284" s="272">
        <v>240123</v>
      </c>
      <c r="K284" s="272">
        <v>1457772</v>
      </c>
      <c r="L284" s="147">
        <v>297118</v>
      </c>
      <c r="M284" s="272">
        <v>1995013</v>
      </c>
      <c r="N284" s="273"/>
      <c r="O284" s="273">
        <v>-467942</v>
      </c>
      <c r="P284" s="273">
        <v>-108684</v>
      </c>
      <c r="Q284" s="273">
        <v>-576626</v>
      </c>
    </row>
    <row r="285" spans="1:17" ht="12" customHeight="1">
      <c r="A285" s="53">
        <v>2750</v>
      </c>
      <c r="B285" s="54" t="s">
        <v>265</v>
      </c>
      <c r="C285" s="271">
        <v>139997</v>
      </c>
      <c r="D285" s="271">
        <v>1500</v>
      </c>
      <c r="E285" s="271">
        <v>1251</v>
      </c>
      <c r="F285" s="271">
        <v>26197</v>
      </c>
      <c r="G285" s="271">
        <v>33265</v>
      </c>
      <c r="H285" s="271">
        <v>62213</v>
      </c>
      <c r="I285" s="271"/>
      <c r="J285" s="271">
        <v>14623</v>
      </c>
      <c r="K285" s="271">
        <v>88777</v>
      </c>
      <c r="L285" s="271">
        <v>77872</v>
      </c>
      <c r="M285" s="271">
        <v>181272</v>
      </c>
      <c r="N285" s="69"/>
      <c r="O285" s="69">
        <v>-28497</v>
      </c>
      <c r="P285" s="69">
        <v>-9625</v>
      </c>
      <c r="Q285" s="69">
        <v>-38122</v>
      </c>
    </row>
    <row r="286" spans="1:17" ht="12" customHeight="1">
      <c r="A286" s="51">
        <v>2770</v>
      </c>
      <c r="B286" s="55" t="s">
        <v>266</v>
      </c>
      <c r="C286" s="272">
        <v>2015989</v>
      </c>
      <c r="D286" s="272">
        <v>21605</v>
      </c>
      <c r="E286" s="272">
        <v>18021</v>
      </c>
      <c r="F286" s="272">
        <v>377242</v>
      </c>
      <c r="G286" s="272">
        <v>252396</v>
      </c>
      <c r="H286" s="272">
        <v>669264</v>
      </c>
      <c r="I286" s="272"/>
      <c r="J286" s="272">
        <v>210579</v>
      </c>
      <c r="K286" s="272">
        <v>1278413</v>
      </c>
      <c r="L286" s="272">
        <v>280490</v>
      </c>
      <c r="M286" s="272">
        <v>1769482</v>
      </c>
      <c r="N286" s="273"/>
      <c r="O286" s="273">
        <v>-410368</v>
      </c>
      <c r="P286" s="273">
        <v>-139312</v>
      </c>
      <c r="Q286" s="273">
        <v>-549680</v>
      </c>
    </row>
    <row r="287" spans="1:17" ht="12" customHeight="1">
      <c r="A287" s="53">
        <v>32106</v>
      </c>
      <c r="B287" s="54" t="s">
        <v>267</v>
      </c>
      <c r="C287" s="271">
        <v>108803</v>
      </c>
      <c r="D287" s="271">
        <v>1166</v>
      </c>
      <c r="E287" s="271">
        <v>973</v>
      </c>
      <c r="F287" s="271">
        <v>20360</v>
      </c>
      <c r="G287" s="271">
        <v>66548</v>
      </c>
      <c r="H287" s="271">
        <v>89047</v>
      </c>
      <c r="I287" s="271"/>
      <c r="J287" s="271">
        <v>11365</v>
      </c>
      <c r="K287" s="271">
        <v>68996</v>
      </c>
      <c r="L287" s="148">
        <v>271540</v>
      </c>
      <c r="M287" s="271">
        <v>351901</v>
      </c>
      <c r="N287" s="69"/>
      <c r="O287" s="69">
        <v>-22148</v>
      </c>
      <c r="P287" s="69">
        <v>-29012</v>
      </c>
      <c r="Q287" s="69">
        <v>-51160</v>
      </c>
    </row>
    <row r="288" spans="1:17" ht="12" customHeight="1">
      <c r="A288" s="51">
        <v>4180</v>
      </c>
      <c r="B288" s="55" t="s">
        <v>268</v>
      </c>
      <c r="C288" s="272">
        <v>212364</v>
      </c>
      <c r="D288" s="272">
        <v>2276</v>
      </c>
      <c r="E288" s="272">
        <v>1898</v>
      </c>
      <c r="F288" s="272">
        <v>39739</v>
      </c>
      <c r="G288" s="147">
        <v>33354</v>
      </c>
      <c r="H288" s="272">
        <v>77267</v>
      </c>
      <c r="I288" s="272"/>
      <c r="J288" s="272">
        <v>22182</v>
      </c>
      <c r="K288" s="272">
        <v>134668</v>
      </c>
      <c r="L288" s="147">
        <v>103633</v>
      </c>
      <c r="M288" s="272">
        <v>260483</v>
      </c>
      <c r="N288" s="273"/>
      <c r="O288" s="273">
        <v>-43228</v>
      </c>
      <c r="P288" s="273">
        <v>-15698</v>
      </c>
      <c r="Q288" s="273">
        <v>-58926</v>
      </c>
    </row>
    <row r="289" spans="1:17" ht="12" customHeight="1">
      <c r="A289" s="53">
        <v>21063</v>
      </c>
      <c r="B289" s="54" t="s">
        <v>269</v>
      </c>
      <c r="C289" s="271">
        <v>3528716</v>
      </c>
      <c r="D289" s="271">
        <v>37817</v>
      </c>
      <c r="E289" s="271">
        <v>31543</v>
      </c>
      <c r="F289" s="271">
        <v>660311</v>
      </c>
      <c r="G289" s="271">
        <v>448554</v>
      </c>
      <c r="H289" s="271">
        <v>1178225</v>
      </c>
      <c r="I289" s="271"/>
      <c r="J289" s="271">
        <v>368590</v>
      </c>
      <c r="K289" s="271">
        <v>2237689</v>
      </c>
      <c r="L289" s="271">
        <v>132946</v>
      </c>
      <c r="M289" s="271">
        <v>2739225</v>
      </c>
      <c r="N289" s="69"/>
      <c r="O289" s="69">
        <v>-718294</v>
      </c>
      <c r="P289" s="69">
        <v>95286</v>
      </c>
      <c r="Q289" s="69">
        <v>-623008</v>
      </c>
    </row>
    <row r="290" spans="1:17" ht="12" customHeight="1">
      <c r="A290" s="51">
        <v>10033</v>
      </c>
      <c r="B290" s="55" t="s">
        <v>270</v>
      </c>
      <c r="C290" s="272">
        <v>2209210</v>
      </c>
      <c r="D290" s="272">
        <v>23676</v>
      </c>
      <c r="E290" s="272">
        <v>19748</v>
      </c>
      <c r="F290" s="272">
        <v>413399</v>
      </c>
      <c r="G290" s="272">
        <v>133346</v>
      </c>
      <c r="H290" s="272">
        <v>590169</v>
      </c>
      <c r="I290" s="272"/>
      <c r="J290" s="272">
        <v>230762</v>
      </c>
      <c r="K290" s="272">
        <v>1400942</v>
      </c>
      <c r="L290" s="272">
        <v>331542</v>
      </c>
      <c r="M290" s="272">
        <v>1963246</v>
      </c>
      <c r="N290" s="273"/>
      <c r="O290" s="273">
        <v>-449699</v>
      </c>
      <c r="P290" s="273">
        <v>-60923</v>
      </c>
      <c r="Q290" s="273">
        <v>-510622</v>
      </c>
    </row>
    <row r="291" spans="1:17" ht="12" customHeight="1">
      <c r="A291" s="53">
        <v>15049</v>
      </c>
      <c r="B291" s="54" t="s">
        <v>271</v>
      </c>
      <c r="C291" s="271">
        <v>2696832</v>
      </c>
      <c r="D291" s="271">
        <v>28902</v>
      </c>
      <c r="E291" s="271">
        <v>24107</v>
      </c>
      <c r="F291" s="271">
        <v>504645</v>
      </c>
      <c r="G291" s="271">
        <v>461366</v>
      </c>
      <c r="H291" s="271">
        <v>1019020</v>
      </c>
      <c r="I291" s="271"/>
      <c r="J291" s="271">
        <v>281696</v>
      </c>
      <c r="K291" s="271">
        <v>1710161</v>
      </c>
      <c r="L291" s="271">
        <v>18247</v>
      </c>
      <c r="M291" s="271">
        <v>2010104</v>
      </c>
      <c r="N291" s="69"/>
      <c r="O291" s="69">
        <v>-548958</v>
      </c>
      <c r="P291" s="69">
        <v>104172</v>
      </c>
      <c r="Q291" s="69">
        <v>-444786</v>
      </c>
    </row>
    <row r="292" spans="1:17" ht="12" customHeight="1">
      <c r="A292" s="51">
        <v>1315</v>
      </c>
      <c r="B292" s="55" t="s">
        <v>272</v>
      </c>
      <c r="C292" s="272">
        <v>1468598</v>
      </c>
      <c r="D292" s="272">
        <v>15739</v>
      </c>
      <c r="E292" s="272">
        <v>13128</v>
      </c>
      <c r="F292" s="272">
        <v>274811</v>
      </c>
      <c r="G292" s="272">
        <v>424346</v>
      </c>
      <c r="H292" s="272">
        <v>728024</v>
      </c>
      <c r="I292" s="272"/>
      <c r="J292" s="272">
        <v>153401</v>
      </c>
      <c r="K292" s="272">
        <v>931292</v>
      </c>
      <c r="L292" s="272">
        <v>204294</v>
      </c>
      <c r="M292" s="272">
        <v>1288987</v>
      </c>
      <c r="N292" s="273"/>
      <c r="O292" s="273">
        <v>-298943</v>
      </c>
      <c r="P292" s="273">
        <v>219052</v>
      </c>
      <c r="Q292" s="273">
        <v>-79891</v>
      </c>
    </row>
    <row r="293" spans="1:17" ht="12" customHeight="1">
      <c r="A293" s="53">
        <v>3340</v>
      </c>
      <c r="B293" s="54" t="s">
        <v>273</v>
      </c>
      <c r="C293" s="271">
        <v>473342</v>
      </c>
      <c r="D293" s="271">
        <v>5073</v>
      </c>
      <c r="E293" s="271">
        <v>4231</v>
      </c>
      <c r="F293" s="271">
        <v>88574</v>
      </c>
      <c r="G293" s="271">
        <v>49378</v>
      </c>
      <c r="H293" s="271">
        <v>147256</v>
      </c>
      <c r="I293" s="271"/>
      <c r="J293" s="271">
        <v>49443</v>
      </c>
      <c r="K293" s="271">
        <v>300164</v>
      </c>
      <c r="L293" s="148">
        <v>245517</v>
      </c>
      <c r="M293" s="271">
        <v>595124</v>
      </c>
      <c r="N293" s="69"/>
      <c r="O293" s="69">
        <v>-96352</v>
      </c>
      <c r="P293" s="69">
        <v>-59364</v>
      </c>
      <c r="Q293" s="69">
        <v>-155716</v>
      </c>
    </row>
    <row r="294" spans="1:17" ht="12" customHeight="1">
      <c r="A294" s="51">
        <v>3350</v>
      </c>
      <c r="B294" s="55" t="s">
        <v>274</v>
      </c>
      <c r="C294" s="272">
        <v>3754842</v>
      </c>
      <c r="D294" s="272">
        <v>40241</v>
      </c>
      <c r="E294" s="272">
        <v>33565</v>
      </c>
      <c r="F294" s="272">
        <v>702625</v>
      </c>
      <c r="G294" s="272">
        <v>1171242</v>
      </c>
      <c r="H294" s="272">
        <v>1947673</v>
      </c>
      <c r="I294" s="272"/>
      <c r="J294" s="272">
        <v>392210</v>
      </c>
      <c r="K294" s="272">
        <v>2381084</v>
      </c>
      <c r="L294" s="147">
        <v>900438</v>
      </c>
      <c r="M294" s="272">
        <v>3673732</v>
      </c>
      <c r="N294" s="273"/>
      <c r="O294" s="273">
        <v>-764323</v>
      </c>
      <c r="P294" s="273">
        <v>-168384</v>
      </c>
      <c r="Q294" s="273">
        <v>-932707</v>
      </c>
    </row>
    <row r="295" spans="1:17" ht="12" customHeight="1">
      <c r="A295" s="53">
        <v>24073</v>
      </c>
      <c r="B295" s="54" t="s">
        <v>275</v>
      </c>
      <c r="C295" s="271">
        <v>435015</v>
      </c>
      <c r="D295" s="271">
        <v>4662</v>
      </c>
      <c r="E295" s="271">
        <v>3889</v>
      </c>
      <c r="F295" s="271">
        <v>81402</v>
      </c>
      <c r="G295" s="271">
        <v>87703</v>
      </c>
      <c r="H295" s="271">
        <v>177656</v>
      </c>
      <c r="I295" s="271"/>
      <c r="J295" s="271">
        <v>45439</v>
      </c>
      <c r="K295" s="271">
        <v>275859</v>
      </c>
      <c r="L295" s="148">
        <v>43615</v>
      </c>
      <c r="M295" s="271">
        <v>364913</v>
      </c>
      <c r="N295" s="69"/>
      <c r="O295" s="69">
        <v>-88550</v>
      </c>
      <c r="P295" s="69">
        <v>20303</v>
      </c>
      <c r="Q295" s="69">
        <v>-68247</v>
      </c>
    </row>
    <row r="296" spans="1:17" ht="12" customHeight="1">
      <c r="A296" s="51">
        <v>2100</v>
      </c>
      <c r="B296" s="55" t="s">
        <v>276</v>
      </c>
      <c r="C296" s="272">
        <v>412550</v>
      </c>
      <c r="D296" s="272">
        <v>4421</v>
      </c>
      <c r="E296" s="272">
        <v>3688</v>
      </c>
      <c r="F296" s="272">
        <v>77199</v>
      </c>
      <c r="G296" s="272">
        <v>12691</v>
      </c>
      <c r="H296" s="272">
        <v>97999</v>
      </c>
      <c r="I296" s="272"/>
      <c r="J296" s="272">
        <v>43093</v>
      </c>
      <c r="K296" s="272">
        <v>261614</v>
      </c>
      <c r="L296" s="147">
        <v>168961</v>
      </c>
      <c r="M296" s="272">
        <v>473668</v>
      </c>
      <c r="N296" s="273"/>
      <c r="O296" s="273">
        <v>-83977</v>
      </c>
      <c r="P296" s="273">
        <v>-41602</v>
      </c>
      <c r="Q296" s="273">
        <v>-125579</v>
      </c>
    </row>
    <row r="297" spans="1:17" ht="12" customHeight="1">
      <c r="A297" s="53">
        <v>2130</v>
      </c>
      <c r="B297" s="54" t="s">
        <v>277</v>
      </c>
      <c r="C297" s="271">
        <v>133145</v>
      </c>
      <c r="D297" s="271">
        <v>1427</v>
      </c>
      <c r="E297" s="271">
        <v>1190</v>
      </c>
      <c r="F297" s="271">
        <v>24915</v>
      </c>
      <c r="G297" s="271">
        <v>27968</v>
      </c>
      <c r="H297" s="271">
        <v>55500</v>
      </c>
      <c r="I297" s="271"/>
      <c r="J297" s="271">
        <v>13908</v>
      </c>
      <c r="K297" s="271">
        <v>84432</v>
      </c>
      <c r="L297" s="148">
        <v>76310</v>
      </c>
      <c r="M297" s="271">
        <v>174650</v>
      </c>
      <c r="N297" s="69"/>
      <c r="O297" s="69">
        <v>-27102</v>
      </c>
      <c r="P297" s="69">
        <v>-26393</v>
      </c>
      <c r="Q297" s="69">
        <v>-53495</v>
      </c>
    </row>
    <row r="298" spans="1:17" ht="12" customHeight="1">
      <c r="A298" s="51">
        <v>32099</v>
      </c>
      <c r="B298" s="52" t="s">
        <v>278</v>
      </c>
      <c r="C298" s="115">
        <v>167815</v>
      </c>
      <c r="D298" s="115">
        <v>1798</v>
      </c>
      <c r="E298" s="115">
        <v>1500</v>
      </c>
      <c r="F298" s="115">
        <v>31402</v>
      </c>
      <c r="G298" s="115">
        <v>25466</v>
      </c>
      <c r="H298" s="115">
        <v>60166</v>
      </c>
      <c r="I298" s="115"/>
      <c r="J298" s="115">
        <v>17529</v>
      </c>
      <c r="K298" s="115">
        <v>106417</v>
      </c>
      <c r="L298" s="117">
        <v>47177</v>
      </c>
      <c r="M298" s="115">
        <v>171123</v>
      </c>
      <c r="N298" s="116"/>
      <c r="O298" s="116">
        <v>-34160</v>
      </c>
      <c r="P298" s="116">
        <v>-16235</v>
      </c>
      <c r="Q298" s="116">
        <v>-50395</v>
      </c>
    </row>
    <row r="299" spans="1:17" ht="12" customHeight="1">
      <c r="A299" s="53">
        <v>32100</v>
      </c>
      <c r="B299" s="54" t="s">
        <v>279</v>
      </c>
      <c r="C299" s="271">
        <v>320704</v>
      </c>
      <c r="D299" s="271">
        <v>3437</v>
      </c>
      <c r="E299" s="271">
        <v>2867</v>
      </c>
      <c r="F299" s="271">
        <v>60012</v>
      </c>
      <c r="G299" s="271">
        <v>47899</v>
      </c>
      <c r="H299" s="271">
        <v>114215</v>
      </c>
      <c r="I299" s="271"/>
      <c r="J299" s="271">
        <v>33499</v>
      </c>
      <c r="K299" s="271">
        <v>203371</v>
      </c>
      <c r="L299" s="271">
        <v>128802</v>
      </c>
      <c r="M299" s="271">
        <v>365672</v>
      </c>
      <c r="N299" s="69"/>
      <c r="O299" s="69">
        <v>-65282</v>
      </c>
      <c r="P299" s="69">
        <v>-20044</v>
      </c>
      <c r="Q299" s="69">
        <v>-85326</v>
      </c>
    </row>
    <row r="300" spans="1:17" ht="12" customHeight="1">
      <c r="A300" s="51">
        <v>32101</v>
      </c>
      <c r="B300" s="55" t="s">
        <v>280</v>
      </c>
      <c r="C300" s="272">
        <v>113848</v>
      </c>
      <c r="D300" s="272">
        <v>1220</v>
      </c>
      <c r="E300" s="272">
        <v>1018</v>
      </c>
      <c r="F300" s="272">
        <v>21304</v>
      </c>
      <c r="G300" s="272">
        <v>154730</v>
      </c>
      <c r="H300" s="272">
        <v>178272</v>
      </c>
      <c r="I300" s="272"/>
      <c r="J300" s="272">
        <v>11892</v>
      </c>
      <c r="K300" s="272">
        <v>72195</v>
      </c>
      <c r="L300" s="272">
        <v>132626</v>
      </c>
      <c r="M300" s="272">
        <v>216713</v>
      </c>
      <c r="N300" s="273"/>
      <c r="O300" s="273">
        <v>-23174</v>
      </c>
      <c r="P300" s="273">
        <v>-847</v>
      </c>
      <c r="Q300" s="273">
        <v>-24021</v>
      </c>
    </row>
    <row r="301" spans="1:17" ht="12" customHeight="1">
      <c r="A301" s="53">
        <v>32102</v>
      </c>
      <c r="B301" s="54" t="s">
        <v>281</v>
      </c>
      <c r="C301" s="271">
        <v>185486</v>
      </c>
      <c r="D301" s="271">
        <v>1988</v>
      </c>
      <c r="E301" s="271">
        <v>1658</v>
      </c>
      <c r="F301" s="271">
        <v>34709</v>
      </c>
      <c r="G301" s="271">
        <v>7696</v>
      </c>
      <c r="H301" s="271">
        <v>46051</v>
      </c>
      <c r="I301" s="271"/>
      <c r="J301" s="271">
        <v>19375</v>
      </c>
      <c r="K301" s="271">
        <v>117623</v>
      </c>
      <c r="L301" s="271">
        <v>56397</v>
      </c>
      <c r="M301" s="271">
        <v>193395</v>
      </c>
      <c r="N301" s="69"/>
      <c r="O301" s="69">
        <v>-37757</v>
      </c>
      <c r="P301" s="69">
        <v>-8600</v>
      </c>
      <c r="Q301" s="69">
        <v>-46357</v>
      </c>
    </row>
    <row r="302" spans="1:17" ht="12" customHeight="1">
      <c r="A302" s="51">
        <v>2880</v>
      </c>
      <c r="B302" s="55" t="s">
        <v>282</v>
      </c>
      <c r="C302" s="272">
        <v>64225</v>
      </c>
      <c r="D302" s="272">
        <v>688</v>
      </c>
      <c r="E302" s="272">
        <v>574</v>
      </c>
      <c r="F302" s="272">
        <v>12018</v>
      </c>
      <c r="G302" s="272">
        <v>11699</v>
      </c>
      <c r="H302" s="272">
        <v>24979</v>
      </c>
      <c r="I302" s="272"/>
      <c r="J302" s="272">
        <v>6709</v>
      </c>
      <c r="K302" s="272">
        <v>40727</v>
      </c>
      <c r="L302" s="272">
        <v>15107</v>
      </c>
      <c r="M302" s="272">
        <v>62543</v>
      </c>
      <c r="N302" s="273"/>
      <c r="O302" s="273">
        <v>-13073</v>
      </c>
      <c r="P302" s="273">
        <v>-2869</v>
      </c>
      <c r="Q302" s="273">
        <v>-15942</v>
      </c>
    </row>
    <row r="303" spans="1:17" ht="12" customHeight="1">
      <c r="A303" s="53">
        <v>2490</v>
      </c>
      <c r="B303" s="54" t="s">
        <v>283</v>
      </c>
      <c r="C303" s="271">
        <v>524380</v>
      </c>
      <c r="D303" s="271">
        <v>5620</v>
      </c>
      <c r="E303" s="271">
        <v>4687</v>
      </c>
      <c r="F303" s="271">
        <v>98125</v>
      </c>
      <c r="G303" s="271">
        <v>75773</v>
      </c>
      <c r="H303" s="271">
        <v>184205</v>
      </c>
      <c r="I303" s="271"/>
      <c r="J303" s="271">
        <v>54774</v>
      </c>
      <c r="K303" s="271">
        <v>332529</v>
      </c>
      <c r="L303" s="148">
        <v>73888</v>
      </c>
      <c r="M303" s="271">
        <v>461191</v>
      </c>
      <c r="N303" s="69"/>
      <c r="O303" s="69">
        <v>-106741</v>
      </c>
      <c r="P303" s="69">
        <v>-21025</v>
      </c>
      <c r="Q303" s="69">
        <v>-127766</v>
      </c>
    </row>
    <row r="304" spans="1:17" ht="12" customHeight="1">
      <c r="A304" s="51">
        <v>2530</v>
      </c>
      <c r="B304" s="55" t="s">
        <v>284</v>
      </c>
      <c r="C304" s="272">
        <v>98895</v>
      </c>
      <c r="D304" s="272">
        <v>1060</v>
      </c>
      <c r="E304" s="272">
        <v>884</v>
      </c>
      <c r="F304" s="272">
        <v>18506</v>
      </c>
      <c r="G304" s="147">
        <v>70402</v>
      </c>
      <c r="H304" s="272">
        <v>90852</v>
      </c>
      <c r="I304" s="272"/>
      <c r="J304" s="272">
        <v>10330</v>
      </c>
      <c r="K304" s="272">
        <v>62713</v>
      </c>
      <c r="L304" s="272">
        <v>89402</v>
      </c>
      <c r="M304" s="272">
        <v>162445</v>
      </c>
      <c r="N304" s="273"/>
      <c r="O304" s="273">
        <v>-20131</v>
      </c>
      <c r="P304" s="273">
        <v>-12916</v>
      </c>
      <c r="Q304" s="273">
        <v>-33047</v>
      </c>
    </row>
    <row r="305" spans="1:17" ht="12" customHeight="1">
      <c r="A305" s="53">
        <v>2560</v>
      </c>
      <c r="B305" s="54" t="s">
        <v>285</v>
      </c>
      <c r="C305" s="271">
        <v>277822</v>
      </c>
      <c r="D305" s="271">
        <v>2977</v>
      </c>
      <c r="E305" s="271">
        <v>2483</v>
      </c>
      <c r="F305" s="271">
        <v>51988</v>
      </c>
      <c r="G305" s="271">
        <v>169106</v>
      </c>
      <c r="H305" s="271">
        <v>226554</v>
      </c>
      <c r="I305" s="271"/>
      <c r="J305" s="271">
        <v>29020</v>
      </c>
      <c r="K305" s="271">
        <v>176177</v>
      </c>
      <c r="L305" s="148">
        <v>42929</v>
      </c>
      <c r="M305" s="271">
        <v>248126</v>
      </c>
      <c r="N305" s="69"/>
      <c r="O305" s="69">
        <v>-56553</v>
      </c>
      <c r="P305" s="69">
        <v>22719</v>
      </c>
      <c r="Q305" s="69">
        <v>-33834</v>
      </c>
    </row>
    <row r="306" spans="1:17" ht="12" customHeight="1">
      <c r="A306" s="51">
        <v>2610</v>
      </c>
      <c r="B306" s="55" t="s">
        <v>286</v>
      </c>
      <c r="C306" s="272">
        <v>55452</v>
      </c>
      <c r="D306" s="272">
        <v>594</v>
      </c>
      <c r="E306" s="272">
        <v>496</v>
      </c>
      <c r="F306" s="272">
        <v>10377</v>
      </c>
      <c r="G306" s="147">
        <v>8631</v>
      </c>
      <c r="H306" s="272">
        <v>20098</v>
      </c>
      <c r="I306" s="272"/>
      <c r="J306" s="272">
        <v>5792</v>
      </c>
      <c r="K306" s="272">
        <v>35164</v>
      </c>
      <c r="L306" s="272">
        <v>17996</v>
      </c>
      <c r="M306" s="272">
        <v>58952</v>
      </c>
      <c r="N306" s="273"/>
      <c r="O306" s="273">
        <v>-11288</v>
      </c>
      <c r="P306" s="273">
        <v>-3938</v>
      </c>
      <c r="Q306" s="273">
        <v>-15226</v>
      </c>
    </row>
    <row r="307" spans="1:17" ht="12" customHeight="1">
      <c r="A307" s="53">
        <v>2800</v>
      </c>
      <c r="B307" s="54" t="s">
        <v>287</v>
      </c>
      <c r="C307" s="271">
        <v>165937</v>
      </c>
      <c r="D307" s="271">
        <v>1778</v>
      </c>
      <c r="E307" s="271">
        <v>1483</v>
      </c>
      <c r="F307" s="271">
        <v>31051</v>
      </c>
      <c r="G307" s="271">
        <v>55261</v>
      </c>
      <c r="H307" s="271">
        <v>89573</v>
      </c>
      <c r="I307" s="271"/>
      <c r="J307" s="271">
        <v>17333</v>
      </c>
      <c r="K307" s="271">
        <v>105227</v>
      </c>
      <c r="L307" s="148">
        <v>23798</v>
      </c>
      <c r="M307" s="271">
        <v>146358</v>
      </c>
      <c r="N307" s="69"/>
      <c r="O307" s="69">
        <v>-33778</v>
      </c>
      <c r="P307" s="69">
        <v>21334</v>
      </c>
      <c r="Q307" s="69">
        <v>-12444</v>
      </c>
    </row>
    <row r="308" spans="1:17" ht="12" customHeight="1">
      <c r="A308" s="51">
        <v>20317</v>
      </c>
      <c r="B308" s="55" t="s">
        <v>288</v>
      </c>
      <c r="C308" s="272">
        <v>276295</v>
      </c>
      <c r="D308" s="272">
        <v>2961</v>
      </c>
      <c r="E308" s="272">
        <v>2470</v>
      </c>
      <c r="F308" s="272">
        <v>51702</v>
      </c>
      <c r="G308" s="272">
        <v>126513</v>
      </c>
      <c r="H308" s="272">
        <v>183646</v>
      </c>
      <c r="I308" s="272"/>
      <c r="J308" s="272">
        <v>28860</v>
      </c>
      <c r="K308" s="272">
        <v>175209</v>
      </c>
      <c r="L308" s="272">
        <v>158017</v>
      </c>
      <c r="M308" s="272">
        <v>362086</v>
      </c>
      <c r="N308" s="273"/>
      <c r="O308" s="273">
        <v>-56242</v>
      </c>
      <c r="P308" s="273">
        <v>11316</v>
      </c>
      <c r="Q308" s="273">
        <v>-44926</v>
      </c>
    </row>
    <row r="309" spans="1:17" ht="12" customHeight="1">
      <c r="A309" s="53">
        <v>2442</v>
      </c>
      <c r="B309" s="54" t="s">
        <v>415</v>
      </c>
      <c r="C309" s="271">
        <v>256788</v>
      </c>
      <c r="D309" s="271">
        <v>2752</v>
      </c>
      <c r="E309" s="271">
        <v>2295</v>
      </c>
      <c r="F309" s="271">
        <v>48051</v>
      </c>
      <c r="G309" s="271">
        <v>340332</v>
      </c>
      <c r="H309" s="271">
        <v>393430</v>
      </c>
      <c r="I309" s="271"/>
      <c r="J309" s="271">
        <v>26823</v>
      </c>
      <c r="K309" s="271">
        <v>162839</v>
      </c>
      <c r="L309" s="271">
        <v>0</v>
      </c>
      <c r="M309" s="271">
        <v>189662</v>
      </c>
      <c r="N309" s="69"/>
      <c r="O309" s="69">
        <v>-52271</v>
      </c>
      <c r="P309" s="69">
        <v>94435</v>
      </c>
      <c r="Q309" s="69">
        <v>42164</v>
      </c>
    </row>
    <row r="310" spans="1:17" ht="12" customHeight="1">
      <c r="A310" s="51">
        <v>30090</v>
      </c>
      <c r="B310" s="55" t="s">
        <v>289</v>
      </c>
      <c r="C310" s="272">
        <v>498777</v>
      </c>
      <c r="D310" s="272">
        <v>5345</v>
      </c>
      <c r="E310" s="272">
        <v>4459</v>
      </c>
      <c r="F310" s="272">
        <v>93334</v>
      </c>
      <c r="G310" s="272">
        <v>138596</v>
      </c>
      <c r="H310" s="272">
        <v>241734</v>
      </c>
      <c r="I310" s="272"/>
      <c r="J310" s="272">
        <v>52099</v>
      </c>
      <c r="K310" s="272">
        <v>316293</v>
      </c>
      <c r="L310" s="147">
        <v>150509</v>
      </c>
      <c r="M310" s="272">
        <v>518901</v>
      </c>
      <c r="N310" s="273"/>
      <c r="O310" s="273">
        <v>-101529</v>
      </c>
      <c r="P310" s="273">
        <v>1710</v>
      </c>
      <c r="Q310" s="273">
        <v>-99819</v>
      </c>
    </row>
    <row r="311" spans="1:17" ht="12" customHeight="1">
      <c r="A311" s="53">
        <v>29330</v>
      </c>
      <c r="B311" s="54" t="s">
        <v>290</v>
      </c>
      <c r="C311" s="271">
        <v>249725</v>
      </c>
      <c r="D311" s="271">
        <v>2676</v>
      </c>
      <c r="E311" s="271">
        <v>2232</v>
      </c>
      <c r="F311" s="271">
        <v>46730</v>
      </c>
      <c r="G311" s="271">
        <v>64624</v>
      </c>
      <c r="H311" s="271">
        <v>116262</v>
      </c>
      <c r="I311" s="271"/>
      <c r="J311" s="271">
        <v>26085</v>
      </c>
      <c r="K311" s="271">
        <v>158360</v>
      </c>
      <c r="L311" s="271">
        <v>20999</v>
      </c>
      <c r="M311" s="271">
        <v>205444</v>
      </c>
      <c r="N311" s="69"/>
      <c r="O311" s="69">
        <v>-50833</v>
      </c>
      <c r="P311" s="69">
        <v>8270</v>
      </c>
      <c r="Q311" s="69">
        <v>-42563</v>
      </c>
    </row>
    <row r="312" spans="1:17" ht="12" customHeight="1">
      <c r="A312" s="51">
        <v>12038</v>
      </c>
      <c r="B312" s="55" t="s">
        <v>291</v>
      </c>
      <c r="C312" s="272">
        <v>4225129</v>
      </c>
      <c r="D312" s="272">
        <v>45281</v>
      </c>
      <c r="E312" s="272">
        <v>37769</v>
      </c>
      <c r="F312" s="272">
        <v>790627</v>
      </c>
      <c r="G312" s="272">
        <v>390968</v>
      </c>
      <c r="H312" s="272">
        <v>1264645</v>
      </c>
      <c r="I312" s="272"/>
      <c r="J312" s="272">
        <v>441333</v>
      </c>
      <c r="K312" s="272">
        <v>2679310</v>
      </c>
      <c r="L312" s="272">
        <v>376091</v>
      </c>
      <c r="M312" s="272">
        <v>3496734</v>
      </c>
      <c r="N312" s="273"/>
      <c r="O312" s="273">
        <v>-860053</v>
      </c>
      <c r="P312" s="273">
        <v>195752</v>
      </c>
      <c r="Q312" s="273">
        <v>-664301</v>
      </c>
    </row>
    <row r="313" spans="1:17" ht="12" customHeight="1">
      <c r="A313" s="53">
        <v>8099</v>
      </c>
      <c r="B313" s="54" t="s">
        <v>292</v>
      </c>
      <c r="C313" s="271">
        <v>7526906</v>
      </c>
      <c r="D313" s="271">
        <v>80666</v>
      </c>
      <c r="E313" s="271">
        <v>67283</v>
      </c>
      <c r="F313" s="271">
        <v>1408473</v>
      </c>
      <c r="G313" s="271">
        <v>808581</v>
      </c>
      <c r="H313" s="271">
        <v>2365003</v>
      </c>
      <c r="I313" s="271"/>
      <c r="J313" s="271">
        <v>786218</v>
      </c>
      <c r="K313" s="271">
        <v>4773089</v>
      </c>
      <c r="L313" s="271">
        <v>175601</v>
      </c>
      <c r="M313" s="271">
        <v>5734908</v>
      </c>
      <c r="N313" s="69"/>
      <c r="O313" s="69">
        <v>-1532152</v>
      </c>
      <c r="P313" s="69">
        <v>82906</v>
      </c>
      <c r="Q313" s="69">
        <v>-1449246</v>
      </c>
    </row>
    <row r="314" spans="1:17" ht="12" customHeight="1">
      <c r="A314" s="51">
        <v>2417</v>
      </c>
      <c r="B314" s="55" t="s">
        <v>293</v>
      </c>
      <c r="C314" s="272">
        <v>146850</v>
      </c>
      <c r="D314" s="272">
        <v>1574</v>
      </c>
      <c r="E314" s="272">
        <v>1313</v>
      </c>
      <c r="F314" s="272">
        <v>27479</v>
      </c>
      <c r="G314" s="272">
        <v>18713</v>
      </c>
      <c r="H314" s="272">
        <v>49079</v>
      </c>
      <c r="I314" s="272"/>
      <c r="J314" s="272">
        <v>15339</v>
      </c>
      <c r="K314" s="272">
        <v>93123</v>
      </c>
      <c r="L314" s="147">
        <v>15458</v>
      </c>
      <c r="M314" s="272">
        <v>123920</v>
      </c>
      <c r="N314" s="273"/>
      <c r="O314" s="273">
        <v>-29892</v>
      </c>
      <c r="P314" s="273">
        <v>8383</v>
      </c>
      <c r="Q314" s="273">
        <v>-21509</v>
      </c>
    </row>
    <row r="315" spans="1:17" ht="12" customHeight="1">
      <c r="A315" s="53">
        <v>13142</v>
      </c>
      <c r="B315" s="54" t="s">
        <v>294</v>
      </c>
      <c r="C315" s="271">
        <v>4602813</v>
      </c>
      <c r="D315" s="271">
        <v>49329</v>
      </c>
      <c r="E315" s="271">
        <v>41145</v>
      </c>
      <c r="F315" s="271">
        <v>861302</v>
      </c>
      <c r="G315" s="271">
        <v>642470</v>
      </c>
      <c r="H315" s="271">
        <v>1594246</v>
      </c>
      <c r="I315" s="271"/>
      <c r="J315" s="271">
        <v>480784</v>
      </c>
      <c r="K315" s="271">
        <v>2918814</v>
      </c>
      <c r="L315" s="271">
        <v>195570</v>
      </c>
      <c r="M315" s="271">
        <v>3595168</v>
      </c>
      <c r="N315" s="69"/>
      <c r="O315" s="69">
        <v>-936933</v>
      </c>
      <c r="P315" s="69">
        <v>191468</v>
      </c>
      <c r="Q315" s="69">
        <v>-745465</v>
      </c>
    </row>
    <row r="316" spans="1:17" ht="12" customHeight="1">
      <c r="A316" s="51">
        <v>17425</v>
      </c>
      <c r="B316" s="55" t="s">
        <v>892</v>
      </c>
      <c r="C316" s="272">
        <v>0</v>
      </c>
      <c r="D316" s="272">
        <v>0</v>
      </c>
      <c r="E316" s="272">
        <v>0</v>
      </c>
      <c r="F316" s="272">
        <v>0</v>
      </c>
      <c r="G316" s="272">
        <v>142511</v>
      </c>
      <c r="H316" s="272">
        <v>142511</v>
      </c>
      <c r="I316" s="272"/>
      <c r="J316" s="272">
        <v>0</v>
      </c>
      <c r="K316" s="272">
        <v>0</v>
      </c>
      <c r="L316" s="147">
        <v>385088</v>
      </c>
      <c r="M316" s="272">
        <v>385088</v>
      </c>
      <c r="N316" s="273"/>
      <c r="O316" s="273">
        <v>0</v>
      </c>
      <c r="P316" s="273">
        <v>-72089</v>
      </c>
      <c r="Q316" s="273">
        <v>-72089</v>
      </c>
    </row>
    <row r="317" spans="1:17" ht="12" customHeight="1">
      <c r="A317" s="53">
        <v>4170</v>
      </c>
      <c r="B317" s="54" t="s">
        <v>893</v>
      </c>
      <c r="C317" s="271">
        <v>0</v>
      </c>
      <c r="D317" s="271">
        <v>0</v>
      </c>
      <c r="E317" s="271">
        <v>0</v>
      </c>
      <c r="F317" s="271">
        <v>0</v>
      </c>
      <c r="G317" s="271">
        <v>0</v>
      </c>
      <c r="H317" s="271">
        <v>0</v>
      </c>
      <c r="I317" s="271"/>
      <c r="J317" s="271">
        <v>0</v>
      </c>
      <c r="K317" s="271">
        <v>0</v>
      </c>
      <c r="L317" s="271">
        <v>133144</v>
      </c>
      <c r="M317" s="271">
        <v>133144</v>
      </c>
      <c r="N317" s="69"/>
      <c r="O317" s="69">
        <v>0</v>
      </c>
      <c r="P317" s="69">
        <v>-52699</v>
      </c>
      <c r="Q317" s="69">
        <v>-52699</v>
      </c>
    </row>
    <row r="318" spans="1:17" ht="12" customHeight="1">
      <c r="A318" s="51">
        <v>17334</v>
      </c>
      <c r="B318" s="55" t="s">
        <v>894</v>
      </c>
      <c r="C318" s="272">
        <v>0</v>
      </c>
      <c r="D318" s="272">
        <v>0</v>
      </c>
      <c r="E318" s="272">
        <v>0</v>
      </c>
      <c r="F318" s="272">
        <v>0</v>
      </c>
      <c r="G318" s="272">
        <v>0</v>
      </c>
      <c r="H318" s="272">
        <v>0</v>
      </c>
      <c r="I318" s="272"/>
      <c r="J318" s="272">
        <v>0</v>
      </c>
      <c r="K318" s="272">
        <v>0</v>
      </c>
      <c r="L318" s="147">
        <v>44883</v>
      </c>
      <c r="M318" s="272">
        <v>44883</v>
      </c>
      <c r="N318" s="273"/>
      <c r="O318" s="273">
        <v>0</v>
      </c>
      <c r="P318" s="273">
        <v>-31901</v>
      </c>
      <c r="Q318" s="273">
        <v>-31901</v>
      </c>
    </row>
    <row r="319" spans="1:17" ht="12" customHeight="1">
      <c r="A319" s="53">
        <v>2403</v>
      </c>
      <c r="B319" s="54" t="s">
        <v>895</v>
      </c>
      <c r="C319" s="271">
        <v>0</v>
      </c>
      <c r="D319" s="271">
        <v>0</v>
      </c>
      <c r="E319" s="271">
        <v>0</v>
      </c>
      <c r="F319" s="271">
        <v>0</v>
      </c>
      <c r="G319" s="271">
        <v>0</v>
      </c>
      <c r="H319" s="271">
        <v>0</v>
      </c>
      <c r="I319" s="271"/>
      <c r="J319" s="271">
        <v>0</v>
      </c>
      <c r="K319" s="271">
        <v>0</v>
      </c>
      <c r="L319" s="271">
        <v>0</v>
      </c>
      <c r="M319" s="271">
        <v>0</v>
      </c>
      <c r="N319" s="69"/>
      <c r="O319" s="69">
        <v>0</v>
      </c>
      <c r="P319" s="69">
        <v>-47002</v>
      </c>
      <c r="Q319" s="69">
        <v>-47002</v>
      </c>
    </row>
    <row r="320" spans="1:17" ht="12" customHeight="1">
      <c r="A320" s="51">
        <v>16358</v>
      </c>
      <c r="B320" s="55" t="s">
        <v>896</v>
      </c>
      <c r="C320" s="272">
        <v>0</v>
      </c>
      <c r="D320" s="272">
        <v>0</v>
      </c>
      <c r="E320" s="272">
        <v>0</v>
      </c>
      <c r="F320" s="272">
        <v>0</v>
      </c>
      <c r="G320" s="272">
        <v>0</v>
      </c>
      <c r="H320" s="272">
        <v>0</v>
      </c>
      <c r="I320" s="272"/>
      <c r="J320" s="272">
        <v>0</v>
      </c>
      <c r="K320" s="272">
        <v>0</v>
      </c>
      <c r="L320" s="272">
        <v>0</v>
      </c>
      <c r="M320" s="272">
        <v>0</v>
      </c>
      <c r="N320" s="273"/>
      <c r="O320" s="273">
        <v>0</v>
      </c>
      <c r="P320" s="273">
        <v>-121078</v>
      </c>
      <c r="Q320" s="273">
        <v>-121078</v>
      </c>
    </row>
    <row r="321" spans="1:17" ht="12" customHeight="1">
      <c r="A321" s="53">
        <v>2357</v>
      </c>
      <c r="B321" s="54" t="s">
        <v>897</v>
      </c>
      <c r="C321" s="271">
        <v>0</v>
      </c>
      <c r="D321" s="271">
        <v>0</v>
      </c>
      <c r="E321" s="271">
        <v>0</v>
      </c>
      <c r="F321" s="271">
        <v>0</v>
      </c>
      <c r="G321" s="271">
        <v>0</v>
      </c>
      <c r="H321" s="271">
        <v>0</v>
      </c>
      <c r="I321" s="271"/>
      <c r="J321" s="271">
        <v>0</v>
      </c>
      <c r="K321" s="271">
        <v>0</v>
      </c>
      <c r="L321" s="271">
        <v>0</v>
      </c>
      <c r="M321" s="271">
        <v>0</v>
      </c>
      <c r="N321" s="69"/>
      <c r="O321" s="69">
        <v>0</v>
      </c>
      <c r="P321" s="69">
        <v>-56440</v>
      </c>
      <c r="Q321" s="69">
        <v>-56440</v>
      </c>
    </row>
    <row r="322" spans="1:17" ht="12" customHeight="1">
      <c r="A322" s="51">
        <v>16357</v>
      </c>
      <c r="B322" s="55" t="s">
        <v>898</v>
      </c>
      <c r="C322" s="272">
        <v>0</v>
      </c>
      <c r="D322" s="272">
        <v>0</v>
      </c>
      <c r="E322" s="272">
        <v>0</v>
      </c>
      <c r="F322" s="272">
        <v>0</v>
      </c>
      <c r="G322" s="272">
        <v>0</v>
      </c>
      <c r="H322" s="272">
        <v>0</v>
      </c>
      <c r="I322" s="272"/>
      <c r="J322" s="272">
        <v>0</v>
      </c>
      <c r="K322" s="272">
        <v>0</v>
      </c>
      <c r="L322" s="272">
        <v>0</v>
      </c>
      <c r="M322" s="272">
        <v>0</v>
      </c>
      <c r="N322" s="273"/>
      <c r="O322" s="273">
        <v>0</v>
      </c>
      <c r="P322" s="273">
        <v>-74761</v>
      </c>
      <c r="Q322" s="273">
        <v>-74761</v>
      </c>
    </row>
    <row r="323" spans="1:17" ht="12" customHeight="1">
      <c r="A323" s="53">
        <v>7339</v>
      </c>
      <c r="B323" s="54" t="s">
        <v>899</v>
      </c>
      <c r="C323" s="271">
        <v>0</v>
      </c>
      <c r="D323" s="271">
        <v>0</v>
      </c>
      <c r="E323" s="271">
        <v>0</v>
      </c>
      <c r="F323" s="271">
        <v>0</v>
      </c>
      <c r="G323" s="271">
        <v>0</v>
      </c>
      <c r="H323" s="271">
        <v>0</v>
      </c>
      <c r="I323" s="271"/>
      <c r="J323" s="271">
        <v>0</v>
      </c>
      <c r="K323" s="271">
        <v>0</v>
      </c>
      <c r="L323" s="271">
        <v>0</v>
      </c>
      <c r="M323" s="271">
        <v>0</v>
      </c>
      <c r="N323" s="69"/>
      <c r="O323" s="69">
        <v>0</v>
      </c>
      <c r="P323" s="69">
        <v>-75382</v>
      </c>
      <c r="Q323" s="69">
        <v>-75382</v>
      </c>
    </row>
    <row r="324" spans="1:17" ht="12" customHeight="1">
      <c r="A324" s="51">
        <v>2344</v>
      </c>
      <c r="B324" s="55" t="s">
        <v>900</v>
      </c>
      <c r="C324" s="274">
        <v>0</v>
      </c>
      <c r="D324" s="274">
        <v>0</v>
      </c>
      <c r="E324" s="274">
        <v>0</v>
      </c>
      <c r="F324" s="274">
        <v>0</v>
      </c>
      <c r="G324" s="274">
        <v>0</v>
      </c>
      <c r="H324" s="274">
        <v>0</v>
      </c>
      <c r="I324" s="272"/>
      <c r="J324" s="274">
        <v>0</v>
      </c>
      <c r="K324" s="274">
        <v>0</v>
      </c>
      <c r="L324" s="274">
        <v>0</v>
      </c>
      <c r="M324" s="274">
        <v>0</v>
      </c>
      <c r="N324" s="273"/>
      <c r="O324" s="275">
        <v>0</v>
      </c>
      <c r="P324" s="275">
        <v>-117353</v>
      </c>
      <c r="Q324" s="275">
        <v>-117353</v>
      </c>
    </row>
    <row r="325" spans="1:17" ht="6.6" customHeight="1">
      <c r="A325" s="56"/>
      <c r="B325" s="46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80"/>
      <c r="O325" s="180"/>
      <c r="P325" s="180"/>
      <c r="Q325" s="180"/>
    </row>
    <row r="326" spans="1:17" ht="13.5" customHeight="1" thickBot="1">
      <c r="A326" s="57"/>
      <c r="B326" s="58"/>
      <c r="C326" s="59">
        <v>1784800039</v>
      </c>
      <c r="D326" s="59">
        <v>19127775</v>
      </c>
      <c r="E326" s="59">
        <v>15954385</v>
      </c>
      <c r="F326" s="59">
        <v>333980798</v>
      </c>
      <c r="G326" s="59">
        <f>SUM(G10:G324)</f>
        <v>171300015</v>
      </c>
      <c r="H326" s="59">
        <f>SUM(H10:H324)</f>
        <v>540362973</v>
      </c>
      <c r="I326" s="114"/>
      <c r="J326" s="59">
        <v>186430186</v>
      </c>
      <c r="K326" s="59">
        <v>1131807665</v>
      </c>
      <c r="L326" s="59">
        <f>SUM(L10:L324)</f>
        <v>171300015</v>
      </c>
      <c r="M326" s="59">
        <f>SUM(M10:M324)</f>
        <v>1489537866</v>
      </c>
      <c r="N326" s="114"/>
      <c r="O326" s="59">
        <v>-363307901</v>
      </c>
      <c r="P326" s="59">
        <f>SUM(P10:P324)</f>
        <v>0</v>
      </c>
      <c r="Q326" s="59">
        <f>+O326</f>
        <v>-363307901</v>
      </c>
    </row>
    <row r="327" spans="1:17" ht="13.5" customHeight="1" thickTop="1">
      <c r="A327" s="160" t="s">
        <v>901</v>
      </c>
      <c r="B327" s="58"/>
      <c r="C327" s="114"/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</row>
    <row r="328" spans="1:17" ht="13.5" customHeight="1">
      <c r="A328" s="160" t="s">
        <v>902</v>
      </c>
      <c r="B328" s="161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</row>
    <row r="329" spans="1:17" ht="12" customHeight="1">
      <c r="A329" s="160" t="s">
        <v>903</v>
      </c>
      <c r="B329" s="11"/>
      <c r="C329" s="114"/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</row>
    <row r="330" spans="1:17" ht="12" customHeight="1">
      <c r="A330" s="160" t="s">
        <v>904</v>
      </c>
    </row>
    <row r="331" spans="1:17" ht="12" customHeight="1">
      <c r="A331" s="160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7" ht="12" customHeight="1">
      <c r="C332" s="70">
        <f t="shared" ref="C332:Q332" si="0">SUM(C10:C324)-C326</f>
        <v>0</v>
      </c>
      <c r="D332" s="70">
        <f t="shared" si="0"/>
        <v>0</v>
      </c>
      <c r="E332" s="70">
        <f t="shared" si="0"/>
        <v>0</v>
      </c>
      <c r="F332" s="166">
        <f t="shared" si="0"/>
        <v>0</v>
      </c>
      <c r="G332" s="70">
        <f t="shared" si="0"/>
        <v>0</v>
      </c>
      <c r="H332" s="70">
        <f t="shared" si="0"/>
        <v>0</v>
      </c>
      <c r="I332" s="70">
        <f t="shared" si="0"/>
        <v>0</v>
      </c>
      <c r="J332" s="70">
        <f t="shared" si="0"/>
        <v>0</v>
      </c>
      <c r="K332" s="70">
        <f t="shared" si="0"/>
        <v>0</v>
      </c>
      <c r="L332" s="70">
        <f t="shared" si="0"/>
        <v>0</v>
      </c>
      <c r="M332" s="70">
        <f t="shared" si="0"/>
        <v>0</v>
      </c>
      <c r="N332" s="70">
        <f t="shared" si="0"/>
        <v>0</v>
      </c>
      <c r="O332" s="70">
        <f t="shared" si="0"/>
        <v>0</v>
      </c>
      <c r="P332" s="70">
        <f t="shared" si="0"/>
        <v>0</v>
      </c>
      <c r="Q332" s="70">
        <f t="shared" si="0"/>
        <v>0</v>
      </c>
    </row>
    <row r="334" spans="1:17" ht="12" customHeight="1">
      <c r="O334" s="61"/>
    </row>
    <row r="335" spans="1:17" ht="12" customHeight="1">
      <c r="M335" s="113"/>
      <c r="O335" s="70"/>
    </row>
    <row r="336" spans="1:17" ht="12" customHeight="1">
      <c r="J336" s="113"/>
      <c r="M336" s="128"/>
      <c r="O336" s="61"/>
    </row>
    <row r="337" spans="13:15" ht="12" customHeight="1">
      <c r="M337" s="109"/>
    </row>
    <row r="338" spans="13:15" ht="12" customHeight="1">
      <c r="O338" s="70"/>
    </row>
  </sheetData>
  <mergeCells count="6">
    <mergeCell ref="A1:Q1"/>
    <mergeCell ref="A2:Q2"/>
    <mergeCell ref="A3:Q3"/>
    <mergeCell ref="D6:H6"/>
    <mergeCell ref="J6:M6"/>
    <mergeCell ref="O6:Q6"/>
  </mergeCells>
  <printOptions horizontalCentered="1"/>
  <pageMargins left="0.7" right="0.7" top="0.5" bottom="0.5" header="0.5" footer="0.5"/>
  <pageSetup scale="50" firstPageNumber="9" fitToHeight="0" orientation="landscape" useFirstPageNumber="1" r:id="rId1"/>
  <headerFooter scaleWithDoc="0">
    <oddFooter>&amp;C&amp;"Arial,Regular"&amp;10&amp;P</oddFooter>
    <evenFooter>&amp;R&amp;"Arial,Regular"&amp;10&amp;P</evenFooter>
  </headerFooter>
  <rowBreaks count="6" manualBreakCount="6">
    <brk id="57" max="16" man="1"/>
    <brk id="105" max="16" man="1"/>
    <brk id="153" max="16" man="1"/>
    <brk id="202" max="16" man="1"/>
    <brk id="250" max="16" man="1"/>
    <brk id="297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341"/>
  <sheetViews>
    <sheetView view="pageBreakPreview" topLeftCell="A230" zoomScaleNormal="90" zoomScaleSheetLayoutView="100" workbookViewId="0">
      <selection activeCell="B143" sqref="B143"/>
    </sheetView>
  </sheetViews>
  <sheetFormatPr defaultRowHeight="15"/>
  <cols>
    <col min="1" max="1" width="12.5703125" customWidth="1"/>
    <col min="2" max="2" width="68" customWidth="1"/>
    <col min="3" max="4" width="15" customWidth="1"/>
    <col min="5" max="5" width="15.42578125" customWidth="1"/>
    <col min="6" max="6" width="15.5703125" customWidth="1"/>
    <col min="7" max="7" width="15" customWidth="1"/>
    <col min="8" max="8" width="3.42578125" customWidth="1"/>
    <col min="9" max="9" width="12" customWidth="1"/>
    <col min="10" max="10" width="16" bestFit="1" customWidth="1"/>
    <col min="11" max="15" width="16.42578125" customWidth="1"/>
    <col min="17" max="21" width="14.42578125" customWidth="1"/>
    <col min="23" max="23" width="14.42578125" customWidth="1"/>
    <col min="24" max="24" width="13.5703125" bestFit="1" customWidth="1"/>
  </cols>
  <sheetData>
    <row r="1" spans="1:24" ht="18">
      <c r="A1" s="282" t="s">
        <v>378</v>
      </c>
      <c r="B1" s="282"/>
      <c r="C1" s="282"/>
      <c r="D1" s="282"/>
      <c r="E1" s="282"/>
      <c r="F1" s="282"/>
      <c r="G1" s="282"/>
    </row>
    <row r="2" spans="1:24" ht="15.75">
      <c r="A2" s="283" t="s">
        <v>381</v>
      </c>
      <c r="B2" s="283"/>
      <c r="C2" s="283"/>
      <c r="D2" s="283"/>
      <c r="E2" s="283"/>
      <c r="F2" s="283"/>
      <c r="G2" s="283"/>
    </row>
    <row r="3" spans="1:24" ht="15.75">
      <c r="A3" s="287" t="s">
        <v>471</v>
      </c>
      <c r="B3" s="283"/>
      <c r="C3" s="283"/>
      <c r="D3" s="283"/>
      <c r="E3" s="283"/>
      <c r="F3" s="283"/>
      <c r="G3" s="283"/>
    </row>
    <row r="6" spans="1:24">
      <c r="A6" s="1"/>
      <c r="B6" s="1"/>
      <c r="C6" s="288" t="s">
        <v>300</v>
      </c>
      <c r="D6" s="288"/>
      <c r="E6" s="288"/>
      <c r="F6" s="288"/>
      <c r="G6" s="288"/>
      <c r="K6" s="288" t="s">
        <v>300</v>
      </c>
      <c r="L6" s="288"/>
      <c r="M6" s="288"/>
      <c r="N6" s="288"/>
      <c r="O6" s="288"/>
      <c r="Q6" s="286" t="s">
        <v>300</v>
      </c>
      <c r="R6" s="286"/>
      <c r="S6" s="286"/>
      <c r="T6" s="286"/>
      <c r="U6" s="286"/>
    </row>
    <row r="7" spans="1:24" ht="34.35" customHeight="1">
      <c r="A7" s="35" t="s">
        <v>0</v>
      </c>
      <c r="B7" s="36" t="s">
        <v>1</v>
      </c>
      <c r="C7" s="34" t="s">
        <v>417</v>
      </c>
      <c r="D7" s="34" t="s">
        <v>432</v>
      </c>
      <c r="E7" s="34" t="s">
        <v>444</v>
      </c>
      <c r="F7" s="34" t="s">
        <v>459</v>
      </c>
      <c r="G7" s="34" t="s">
        <v>802</v>
      </c>
      <c r="J7" s="112" t="s">
        <v>373</v>
      </c>
      <c r="K7" s="34" t="s">
        <v>417</v>
      </c>
      <c r="L7" s="34" t="s">
        <v>432</v>
      </c>
      <c r="M7" s="34" t="s">
        <v>444</v>
      </c>
      <c r="N7" s="34" t="s">
        <v>459</v>
      </c>
      <c r="O7" s="34" t="s">
        <v>802</v>
      </c>
      <c r="P7" s="112" t="s">
        <v>373</v>
      </c>
      <c r="Q7" s="34" t="s">
        <v>417</v>
      </c>
      <c r="R7" s="34" t="s">
        <v>432</v>
      </c>
      <c r="S7" s="34" t="s">
        <v>444</v>
      </c>
      <c r="T7" s="34" t="s">
        <v>459</v>
      </c>
      <c r="U7" s="34" t="s">
        <v>802</v>
      </c>
    </row>
    <row r="8" spans="1:24">
      <c r="A8" s="2"/>
      <c r="B8" s="2"/>
      <c r="C8" s="15" t="s">
        <v>301</v>
      </c>
      <c r="D8" s="15" t="s">
        <v>327</v>
      </c>
      <c r="E8" s="15" t="s">
        <v>328</v>
      </c>
      <c r="F8" s="15" t="s">
        <v>329</v>
      </c>
      <c r="G8" s="15" t="s">
        <v>330</v>
      </c>
      <c r="K8" s="285" t="s">
        <v>375</v>
      </c>
      <c r="L8" s="285"/>
      <c r="M8" s="285"/>
      <c r="N8" s="285"/>
      <c r="O8" s="285"/>
      <c r="Q8" s="285" t="s">
        <v>360</v>
      </c>
      <c r="R8" s="285"/>
      <c r="S8" s="285"/>
      <c r="T8" s="285"/>
      <c r="U8" s="285"/>
      <c r="X8" t="s">
        <v>372</v>
      </c>
    </row>
    <row r="9" spans="1:24">
      <c r="A9" s="2"/>
      <c r="B9" s="2"/>
      <c r="C9" s="15"/>
      <c r="D9" s="15"/>
      <c r="E9" s="15"/>
      <c r="F9" s="15"/>
      <c r="G9" s="15"/>
    </row>
    <row r="10" spans="1:24">
      <c r="A10" s="22">
        <v>1341</v>
      </c>
      <c r="B10" s="23" t="s">
        <v>5</v>
      </c>
      <c r="C10" s="39">
        <f>+Q10</f>
        <v>-97366093</v>
      </c>
      <c r="D10" s="39">
        <f>+R10</f>
        <v>-64662510</v>
      </c>
      <c r="E10" s="39">
        <f>+S10</f>
        <v>-16228389</v>
      </c>
      <c r="F10" s="39">
        <f>+T10</f>
        <v>7113992</v>
      </c>
      <c r="G10" s="39">
        <f>+U10</f>
        <v>1196381</v>
      </c>
      <c r="I10" s="41"/>
      <c r="K10" s="40">
        <f>ROUND(VLOOKUP($A10,'Contribution Allocation_Report'!$A$9:$D$314,4,FALSE)*$K$321,0)</f>
        <v>-102102856</v>
      </c>
      <c r="L10" s="40">
        <f>ROUND(VLOOKUP($A10,'Contribution Allocation_Report'!$A$9:$D$314,4,FALSE)*$L$321,0)</f>
        <v>-68838251</v>
      </c>
      <c r="M10" s="40">
        <f>ROUND(VLOOKUP($A10,'Contribution Allocation_Report'!$A$9:$D$314,4,FALSE)*$M$321,0)</f>
        <v>-22079887</v>
      </c>
      <c r="N10" s="40">
        <f>ROUND(VLOOKUP($A10,'Contribution Allocation_Report'!$A$9:$D$314,4,FALSE)*$N$321,0)</f>
        <v>908930</v>
      </c>
      <c r="O10" s="40">
        <f>ROUND(VLOOKUP($A10,'Contribution Allocation_Report'!$A$9:$D$314,4,FALSE)*$O$321,0)</f>
        <v>-2453175</v>
      </c>
      <c r="Q10" s="40">
        <f>+VLOOKUP(A10,'Change in Proportion Layers'!$AK$8:$AP$318,2,FALSE)+K10</f>
        <v>-97366093</v>
      </c>
      <c r="R10" s="40">
        <f>+VLOOKUP(A10,'Change in Proportion Layers'!$AK$8:$AP$318,3,FALSE)+L10</f>
        <v>-64662510</v>
      </c>
      <c r="S10" s="40">
        <f>+VLOOKUP(A10,'Change in Proportion Layers'!$AK$8:$AP$318,4,FALSE)+M10</f>
        <v>-16228389</v>
      </c>
      <c r="T10" s="40">
        <f>+VLOOKUP(A10,'Change in Proportion Layers'!$AK$8:$AP$318,5,FALSE)+N10</f>
        <v>7113992</v>
      </c>
      <c r="U10" s="40">
        <f>+VLOOKUP(A10,'Change in Proportion Layers'!$AK$8:$AP$318,6,FALSE)+O10-13</f>
        <v>1196381</v>
      </c>
      <c r="W10" s="40">
        <f>('OPEB Amounts_Report'!G10-'OPEB Amounts_Report'!M10)</f>
        <v>-169946619</v>
      </c>
      <c r="X10" s="109">
        <f>SUM(Q10:U10)-W10</f>
        <v>0</v>
      </c>
    </row>
    <row r="11" spans="1:24">
      <c r="A11" s="24">
        <v>2308</v>
      </c>
      <c r="B11" s="3" t="s">
        <v>6</v>
      </c>
      <c r="C11" s="38">
        <f t="shared" ref="C11:C76" si="0">+Q11</f>
        <v>-70716</v>
      </c>
      <c r="D11" s="38">
        <f t="shared" ref="D11:D76" si="1">+R11</f>
        <v>-81587</v>
      </c>
      <c r="E11" s="38">
        <f t="shared" ref="E11:E76" si="2">+S11</f>
        <v>-55385</v>
      </c>
      <c r="F11" s="38">
        <f t="shared" ref="F11:F76" si="3">+T11</f>
        <v>-18449</v>
      </c>
      <c r="G11" s="38">
        <f t="shared" ref="G11:G76" si="4">+U11</f>
        <v>-21429</v>
      </c>
      <c r="I11" s="41"/>
      <c r="K11" s="40">
        <f>ROUND(VLOOKUP($A11,'Contribution Allocation_Report'!$A$9:$D$314,4,FALSE)*$K$321,0)</f>
        <v>-166915</v>
      </c>
      <c r="L11" s="40">
        <f>ROUND(VLOOKUP($A11,'Contribution Allocation_Report'!$A$9:$D$314,4,FALSE)*$L$321,0)</f>
        <v>-112535</v>
      </c>
      <c r="M11" s="40">
        <f>ROUND(VLOOKUP($A11,'Contribution Allocation_Report'!$A$9:$D$314,4,FALSE)*$M$321,0)</f>
        <v>-36096</v>
      </c>
      <c r="N11" s="40">
        <f>ROUND(VLOOKUP($A11,'Contribution Allocation_Report'!$A$9:$D$314,4,FALSE)*$N$321,0)</f>
        <v>1486</v>
      </c>
      <c r="O11" s="40">
        <f>ROUND(VLOOKUP($A11,'Contribution Allocation_Report'!$A$9:$D$314,4,FALSE)*$O$321,0)</f>
        <v>-4010</v>
      </c>
      <c r="Q11" s="40">
        <f>+VLOOKUP(A11,'Change in Proportion Layers'!$AK$8:$AP$318,2,FALSE)+K11</f>
        <v>-70716</v>
      </c>
      <c r="R11" s="40">
        <f>+VLOOKUP(A11,'Change in Proportion Layers'!$AK$8:$AP$318,3,FALSE)+L11</f>
        <v>-81587</v>
      </c>
      <c r="S11" s="40">
        <f>+VLOOKUP(A11,'Change in Proportion Layers'!$AK$8:$AP$318,4,FALSE)+M11</f>
        <v>-55385</v>
      </c>
      <c r="T11" s="40">
        <f>+VLOOKUP(A11,'Change in Proportion Layers'!$AK$8:$AP$318,5,FALSE)+N11</f>
        <v>-18449</v>
      </c>
      <c r="U11" s="40">
        <f>+VLOOKUP(A11,'Change in Proportion Layers'!$AK$8:$AP$318,6,FALSE)+O11</f>
        <v>-21429</v>
      </c>
      <c r="W11" s="40">
        <f>('OPEB Amounts_Report'!G11-'OPEB Amounts_Report'!M11)</f>
        <v>-247566</v>
      </c>
      <c r="X11" s="109">
        <f t="shared" ref="X11:X74" si="5">SUM(Q11:U11)-W11</f>
        <v>0</v>
      </c>
    </row>
    <row r="12" spans="1:24">
      <c r="A12" s="22">
        <v>2340</v>
      </c>
      <c r="B12" s="23" t="s">
        <v>7</v>
      </c>
      <c r="C12" s="37">
        <f t="shared" si="0"/>
        <v>-148704</v>
      </c>
      <c r="D12" s="37">
        <f t="shared" si="1"/>
        <v>-97682</v>
      </c>
      <c r="E12" s="37">
        <f t="shared" si="2"/>
        <v>-13938</v>
      </c>
      <c r="F12" s="37">
        <f t="shared" si="3"/>
        <v>10307</v>
      </c>
      <c r="G12" s="37">
        <f t="shared" si="4"/>
        <v>-3515</v>
      </c>
      <c r="I12" s="41"/>
      <c r="K12" s="40">
        <f>ROUND(VLOOKUP($A12,'Contribution Allocation_Report'!$A$9:$D$314,4,FALSE)*$K$321,0)</f>
        <v>-181535</v>
      </c>
      <c r="L12" s="40">
        <f>ROUND(VLOOKUP($A12,'Contribution Allocation_Report'!$A$9:$D$314,4,FALSE)*$L$321,0)</f>
        <v>-122392</v>
      </c>
      <c r="M12" s="40">
        <f>ROUND(VLOOKUP($A12,'Contribution Allocation_Report'!$A$9:$D$314,4,FALSE)*$M$321,0)</f>
        <v>-39257</v>
      </c>
      <c r="N12" s="40">
        <f>ROUND(VLOOKUP($A12,'Contribution Allocation_Report'!$A$9:$D$314,4,FALSE)*$N$321,0)</f>
        <v>1616</v>
      </c>
      <c r="O12" s="40">
        <f>ROUND(VLOOKUP($A12,'Contribution Allocation_Report'!$A$9:$D$314,4,FALSE)*$O$321,0)</f>
        <v>-4362</v>
      </c>
      <c r="Q12" s="40">
        <f>+VLOOKUP(A12,'Change in Proportion Layers'!$AK$8:$AP$318,2,FALSE)+K12</f>
        <v>-148704</v>
      </c>
      <c r="R12" s="40">
        <f>+VLOOKUP(A12,'Change in Proportion Layers'!$AK$8:$AP$318,3,FALSE)+L12</f>
        <v>-97682</v>
      </c>
      <c r="S12" s="40">
        <f>+VLOOKUP(A12,'Change in Proportion Layers'!$AK$8:$AP$318,4,FALSE)+M12</f>
        <v>-13938</v>
      </c>
      <c r="T12" s="40">
        <f>+VLOOKUP(A12,'Change in Proportion Layers'!$AK$8:$AP$318,5,FALSE)+N12</f>
        <v>10307</v>
      </c>
      <c r="U12" s="40">
        <f>+VLOOKUP(A12,'Change in Proportion Layers'!$AK$8:$AP$318,6,FALSE)+O12</f>
        <v>-3515</v>
      </c>
      <c r="W12" s="40">
        <f>('OPEB Amounts_Report'!G12-'OPEB Amounts_Report'!M12)</f>
        <v>-253532</v>
      </c>
      <c r="X12" s="109">
        <f t="shared" si="5"/>
        <v>0</v>
      </c>
    </row>
    <row r="13" spans="1:24">
      <c r="A13" s="24">
        <v>1301</v>
      </c>
      <c r="B13" s="3" t="s">
        <v>8</v>
      </c>
      <c r="C13" s="38">
        <f t="shared" si="0"/>
        <v>-153469</v>
      </c>
      <c r="D13" s="38">
        <f t="shared" si="1"/>
        <v>-122017</v>
      </c>
      <c r="E13" s="38">
        <f t="shared" si="2"/>
        <v>-27260</v>
      </c>
      <c r="F13" s="38">
        <f t="shared" si="3"/>
        <v>-6068</v>
      </c>
      <c r="G13" s="38">
        <f t="shared" si="4"/>
        <v>-11207</v>
      </c>
      <c r="I13" s="41"/>
      <c r="K13" s="40">
        <f>ROUND(VLOOKUP($A13,'Contribution Allocation_Report'!$A$9:$D$314,4,FALSE)*$K$321,0)-1</f>
        <v>-201411</v>
      </c>
      <c r="L13" s="40">
        <f>ROUND(VLOOKUP($A13,'Contribution Allocation_Report'!$A$9:$D$314,4,FALSE)*$L$321,0)</f>
        <v>-135791</v>
      </c>
      <c r="M13" s="40">
        <f>ROUND(VLOOKUP($A13,'Contribution Allocation_Report'!$A$9:$D$314,4,FALSE)*$M$321,0)</f>
        <v>-43555</v>
      </c>
      <c r="N13" s="40">
        <f>ROUND(VLOOKUP($A13,'Contribution Allocation_Report'!$A$9:$D$314,4,FALSE)*$N$321,0)</f>
        <v>1793</v>
      </c>
      <c r="O13" s="40">
        <f>ROUND(VLOOKUP($A13,'Contribution Allocation_Report'!$A$9:$D$314,4,FALSE)*$O$321,0)</f>
        <v>-4839</v>
      </c>
      <c r="Q13" s="40">
        <f>+VLOOKUP(A13,'Change in Proportion Layers'!$AK$8:$AP$318,2,FALSE)+K13</f>
        <v>-153469</v>
      </c>
      <c r="R13" s="40">
        <f>+VLOOKUP(A13,'Change in Proportion Layers'!$AK$8:$AP$318,3,FALSE)+L13-1</f>
        <v>-122017</v>
      </c>
      <c r="S13" s="40">
        <f>+VLOOKUP(A13,'Change in Proportion Layers'!$AK$8:$AP$318,4,FALSE)+M13</f>
        <v>-27260</v>
      </c>
      <c r="T13" s="40">
        <f>+VLOOKUP(A13,'Change in Proportion Layers'!$AK$8:$AP$318,5,FALSE)+N13</f>
        <v>-6068</v>
      </c>
      <c r="U13" s="40">
        <f>+VLOOKUP(A13,'Change in Proportion Layers'!$AK$8:$AP$318,6,FALSE)+O13</f>
        <v>-11207</v>
      </c>
      <c r="W13" s="40">
        <f>('OPEB Amounts_Report'!G13-'OPEB Amounts_Report'!M13)</f>
        <v>-320021</v>
      </c>
      <c r="X13" s="109">
        <f t="shared" si="5"/>
        <v>0</v>
      </c>
    </row>
    <row r="14" spans="1:24">
      <c r="A14" s="22">
        <v>2390</v>
      </c>
      <c r="B14" s="23" t="s">
        <v>9</v>
      </c>
      <c r="C14" s="37">
        <f t="shared" si="0"/>
        <v>-96335</v>
      </c>
      <c r="D14" s="37">
        <f t="shared" si="1"/>
        <v>-65023</v>
      </c>
      <c r="E14" s="37">
        <f t="shared" si="2"/>
        <v>-3544</v>
      </c>
      <c r="F14" s="37">
        <f t="shared" si="3"/>
        <v>-13072</v>
      </c>
      <c r="G14" s="37">
        <f t="shared" si="4"/>
        <v>-17051</v>
      </c>
      <c r="I14" s="41"/>
      <c r="K14" s="40">
        <f>ROUND(VLOOKUP($A14,'Contribution Allocation_Report'!$A$9:$D$314,4,FALSE)*$K$321,0)</f>
        <v>-151166</v>
      </c>
      <c r="L14" s="40">
        <f>ROUND(VLOOKUP($A14,'Contribution Allocation_Report'!$A$9:$D$314,4,FALSE)*$L$321,0)</f>
        <v>-101917</v>
      </c>
      <c r="M14" s="40">
        <f>ROUND(VLOOKUP($A14,'Contribution Allocation_Report'!$A$9:$D$314,4,FALSE)*$M$321,0)</f>
        <v>-32690</v>
      </c>
      <c r="N14" s="40">
        <f>ROUND(VLOOKUP($A14,'Contribution Allocation_Report'!$A$9:$D$314,4,FALSE)*$N$321,0)</f>
        <v>1346</v>
      </c>
      <c r="O14" s="40">
        <f>ROUND(VLOOKUP($A14,'Contribution Allocation_Report'!$A$9:$D$314,4,FALSE)*$O$321,0)</f>
        <v>-3632</v>
      </c>
      <c r="Q14" s="40">
        <f>+VLOOKUP(A14,'Change in Proportion Layers'!$AK$8:$AP$318,2,FALSE)+K14</f>
        <v>-96335</v>
      </c>
      <c r="R14" s="40">
        <f>+VLOOKUP(A14,'Change in Proportion Layers'!$AK$8:$AP$318,3,FALSE)+L14</f>
        <v>-65023</v>
      </c>
      <c r="S14" s="40">
        <f>+VLOOKUP(A14,'Change in Proportion Layers'!$AK$8:$AP$318,4,FALSE)+M14</f>
        <v>-3544</v>
      </c>
      <c r="T14" s="40">
        <f>+VLOOKUP(A14,'Change in Proportion Layers'!$AK$8:$AP$318,5,FALSE)+N14</f>
        <v>-13072</v>
      </c>
      <c r="U14" s="40">
        <f>+VLOOKUP(A14,'Change in Proportion Layers'!$AK$8:$AP$318,6,FALSE)+O14</f>
        <v>-17051</v>
      </c>
      <c r="W14" s="40">
        <f>('OPEB Amounts_Report'!G14-'OPEB Amounts_Report'!M14)</f>
        <v>-195025</v>
      </c>
      <c r="X14" s="109">
        <f t="shared" si="5"/>
        <v>0</v>
      </c>
    </row>
    <row r="15" spans="1:24">
      <c r="A15" s="24">
        <v>2441</v>
      </c>
      <c r="B15" s="3" t="s">
        <v>408</v>
      </c>
      <c r="C15" s="38">
        <f t="shared" ref="C15" si="6">+Q15</f>
        <v>63671</v>
      </c>
      <c r="D15" s="38">
        <f t="shared" ref="D15" si="7">+R15</f>
        <v>27116</v>
      </c>
      <c r="E15" s="38">
        <f t="shared" ref="E15" si="8">+S15</f>
        <v>48988</v>
      </c>
      <c r="F15" s="38">
        <f t="shared" ref="F15" si="9">+T15</f>
        <v>-4036</v>
      </c>
      <c r="G15" s="38">
        <f t="shared" ref="G15" si="10">+U15</f>
        <v>7795</v>
      </c>
      <c r="I15" s="41"/>
      <c r="K15" s="40">
        <f>ROUND(VLOOKUP($A15,'Contribution Allocation_Report'!$A$9:$D$314,4,FALSE)*$K$321,0)</f>
        <v>-87623</v>
      </c>
      <c r="L15" s="40">
        <f>ROUND(VLOOKUP($A15,'Contribution Allocation_Report'!$A$9:$D$314,4,FALSE)*$L$321,0)</f>
        <v>-59076</v>
      </c>
      <c r="M15" s="40">
        <f>ROUND(VLOOKUP($A15,'Contribution Allocation_Report'!$A$9:$D$314,4,FALSE)*$M$321,0)</f>
        <v>-18949</v>
      </c>
      <c r="N15" s="40">
        <f>ROUND(VLOOKUP($A15,'Contribution Allocation_Report'!$A$9:$D$314,4,FALSE)*$N$321,0)</f>
        <v>780</v>
      </c>
      <c r="O15" s="40">
        <f>ROUND(VLOOKUP($A15,'Contribution Allocation_Report'!$A$9:$D$314,4,FALSE)*$O$321,0)</f>
        <v>-2105</v>
      </c>
      <c r="Q15" s="40">
        <f>+VLOOKUP(A15,'Change in Proportion Layers'!$AK$8:$AP$318,2,FALSE)+K15</f>
        <v>63671</v>
      </c>
      <c r="R15" s="40">
        <f>+VLOOKUP(A15,'Change in Proportion Layers'!$AK$8:$AP$318,3,FALSE)+L15</f>
        <v>27116</v>
      </c>
      <c r="S15" s="40">
        <f>+VLOOKUP(A15,'Change in Proportion Layers'!$AK$8:$AP$318,4,FALSE)+M15</f>
        <v>48988</v>
      </c>
      <c r="T15" s="40">
        <f>+VLOOKUP(A15,'Change in Proportion Layers'!$AK$8:$AP$318,5,FALSE)+N15</f>
        <v>-4036</v>
      </c>
      <c r="U15" s="40">
        <f>+VLOOKUP(A15,'Change in Proportion Layers'!$AK$8:$AP$318,6,FALSE)+O15+1</f>
        <v>7795</v>
      </c>
      <c r="W15" s="40">
        <f>('OPEB Amounts_Report'!G15-'OPEB Amounts_Report'!M15)</f>
        <v>143534</v>
      </c>
      <c r="X15" s="109">
        <f t="shared" si="5"/>
        <v>0</v>
      </c>
    </row>
    <row r="16" spans="1:24">
      <c r="A16" s="22">
        <v>15046</v>
      </c>
      <c r="B16" s="23" t="s">
        <v>10</v>
      </c>
      <c r="C16" s="37">
        <f t="shared" si="0"/>
        <v>-2851252</v>
      </c>
      <c r="D16" s="37">
        <f t="shared" si="1"/>
        <v>-1793707</v>
      </c>
      <c r="E16" s="37">
        <f t="shared" si="2"/>
        <v>-230179</v>
      </c>
      <c r="F16" s="37">
        <f t="shared" si="3"/>
        <v>201680</v>
      </c>
      <c r="G16" s="37">
        <f t="shared" si="4"/>
        <v>-96568</v>
      </c>
      <c r="I16" s="41"/>
      <c r="K16" s="40">
        <f>ROUND(VLOOKUP($A16,'Contribution Allocation_Report'!$A$9:$D$314,4,FALSE)*$K$321,0)</f>
        <v>-3046309</v>
      </c>
      <c r="L16" s="40">
        <f>ROUND(VLOOKUP($A16,'Contribution Allocation_Report'!$A$9:$D$314,4,FALSE)*$L$321,0)</f>
        <v>-2053836</v>
      </c>
      <c r="M16" s="40">
        <f>ROUND(VLOOKUP($A16,'Contribution Allocation_Report'!$A$9:$D$314,4,FALSE)*$M$321,0)</f>
        <v>-658769</v>
      </c>
      <c r="N16" s="40">
        <f>ROUND(VLOOKUP($A16,'Contribution Allocation_Report'!$A$9:$D$314,4,FALSE)*$N$321,0)</f>
        <v>27119</v>
      </c>
      <c r="O16" s="40">
        <f>ROUND(VLOOKUP($A16,'Contribution Allocation_Report'!$A$9:$D$314,4,FALSE)*$O$321,0)</f>
        <v>-73192</v>
      </c>
      <c r="Q16" s="40">
        <f>+VLOOKUP(A16,'Change in Proportion Layers'!$AK$8:$AP$318,2,FALSE)+K16</f>
        <v>-2851252</v>
      </c>
      <c r="R16" s="40">
        <f>+VLOOKUP(A16,'Change in Proportion Layers'!$AK$8:$AP$318,3,FALSE)+L16</f>
        <v>-1793707</v>
      </c>
      <c r="S16" s="40">
        <f>+VLOOKUP(A16,'Change in Proportion Layers'!$AK$8:$AP$318,4,FALSE)+M16</f>
        <v>-230179</v>
      </c>
      <c r="T16" s="40">
        <f>+VLOOKUP(A16,'Change in Proportion Layers'!$AK$8:$AP$318,5,FALSE)+N16</f>
        <v>201680</v>
      </c>
      <c r="U16" s="40">
        <f>+VLOOKUP(A16,'Change in Proportion Layers'!$AK$8:$AP$318,6,FALSE)+O16</f>
        <v>-96568</v>
      </c>
      <c r="W16" s="40">
        <f>('OPEB Amounts_Report'!G16-'OPEB Amounts_Report'!M16)</f>
        <v>-4770026</v>
      </c>
      <c r="X16" s="109">
        <f t="shared" si="5"/>
        <v>0</v>
      </c>
    </row>
    <row r="17" spans="1:24">
      <c r="A17" s="24">
        <v>4380</v>
      </c>
      <c r="B17" s="3" t="s">
        <v>11</v>
      </c>
      <c r="C17" s="38">
        <f t="shared" si="0"/>
        <v>-3081034</v>
      </c>
      <c r="D17" s="38">
        <f t="shared" si="1"/>
        <v>-2322270</v>
      </c>
      <c r="E17" s="38">
        <f t="shared" si="2"/>
        <v>-1054929</v>
      </c>
      <c r="F17" s="38">
        <f t="shared" si="3"/>
        <v>-560023</v>
      </c>
      <c r="G17" s="38">
        <f t="shared" si="4"/>
        <v>-124532</v>
      </c>
      <c r="I17" s="41"/>
      <c r="K17" s="40">
        <f>ROUND(VLOOKUP($A17,'Contribution Allocation_Report'!$A$9:$D$314,4,FALSE)*$K$321,0)</f>
        <v>-2444186</v>
      </c>
      <c r="L17" s="40">
        <f>ROUND(VLOOKUP($A17,'Contribution Allocation_Report'!$A$9:$D$314,4,FALSE)*$L$321,0)</f>
        <v>-1647882</v>
      </c>
      <c r="M17" s="40">
        <f>ROUND(VLOOKUP($A17,'Contribution Allocation_Report'!$A$9:$D$314,4,FALSE)*$M$321,0)</f>
        <v>-528559</v>
      </c>
      <c r="N17" s="40">
        <f>ROUND(VLOOKUP($A17,'Contribution Allocation_Report'!$A$9:$D$314,4,FALSE)*$N$321,0)</f>
        <v>21758</v>
      </c>
      <c r="O17" s="40">
        <f>ROUND(VLOOKUP($A17,'Contribution Allocation_Report'!$A$9:$D$314,4,FALSE)*$O$321,0)</f>
        <v>-58725</v>
      </c>
      <c r="Q17" s="40">
        <f>+VLOOKUP(A17,'Change in Proportion Layers'!$AK$8:$AP$318,2,FALSE)+K17</f>
        <v>-3081034</v>
      </c>
      <c r="R17" s="40">
        <f>+VLOOKUP(A17,'Change in Proportion Layers'!$AK$8:$AP$318,3,FALSE)+L17</f>
        <v>-2322270</v>
      </c>
      <c r="S17" s="40">
        <f>+VLOOKUP(A17,'Change in Proportion Layers'!$AK$8:$AP$318,4,FALSE)+M17</f>
        <v>-1054929</v>
      </c>
      <c r="T17" s="40">
        <f>+VLOOKUP(A17,'Change in Proportion Layers'!$AK$8:$AP$318,5,FALSE)+N17</f>
        <v>-560023</v>
      </c>
      <c r="U17" s="40">
        <f>+VLOOKUP(A17,'Change in Proportion Layers'!$AK$8:$AP$318,6,FALSE)+O17</f>
        <v>-124532</v>
      </c>
      <c r="W17" s="40">
        <f>('OPEB Amounts_Report'!G17-'OPEB Amounts_Report'!M17)</f>
        <v>-7142788</v>
      </c>
      <c r="X17" s="109">
        <f t="shared" si="5"/>
        <v>0</v>
      </c>
    </row>
    <row r="18" spans="1:24">
      <c r="A18" s="22">
        <v>2343</v>
      </c>
      <c r="B18" s="23" t="s">
        <v>409</v>
      </c>
      <c r="C18" s="37">
        <f>+Q18</f>
        <v>-154001</v>
      </c>
      <c r="D18" s="37">
        <f>+R18</f>
        <v>-116122</v>
      </c>
      <c r="E18" s="37">
        <f>+S18</f>
        <v>-23192</v>
      </c>
      <c r="F18" s="37">
        <f>+T18</f>
        <v>-50262</v>
      </c>
      <c r="G18" s="37">
        <f>+U18</f>
        <v>-61423</v>
      </c>
      <c r="I18" s="41"/>
      <c r="K18" s="40">
        <f>ROUND(VLOOKUP($A18,'Contribution Allocation_Report'!$A$9:$D$314,4,FALSE)*$K$321,0)</f>
        <v>-179032</v>
      </c>
      <c r="L18" s="40">
        <f>ROUND(VLOOKUP($A18,'Contribution Allocation_Report'!$A$9:$D$314,4,FALSE)*$L$321,0)</f>
        <v>-120704</v>
      </c>
      <c r="M18" s="40">
        <f>ROUND(VLOOKUP($A18,'Contribution Allocation_Report'!$A$9:$D$314,4,FALSE)*$M$321,0)</f>
        <v>-38716</v>
      </c>
      <c r="N18" s="40">
        <f>ROUND(VLOOKUP($A18,'Contribution Allocation_Report'!$A$9:$D$314,4,FALSE)*$N$321,0)</f>
        <v>1594</v>
      </c>
      <c r="O18" s="40">
        <f>ROUND(VLOOKUP($A18,'Contribution Allocation_Report'!$A$9:$D$314,4,FALSE)*$O$321,0)</f>
        <v>-4302</v>
      </c>
      <c r="Q18" s="40">
        <f>+VLOOKUP(A18,'Change in Proportion Layers'!$AK$8:$AP$318,2,FALSE)+K18</f>
        <v>-154001</v>
      </c>
      <c r="R18" s="40">
        <f>+VLOOKUP(A18,'Change in Proportion Layers'!$AK$8:$AP$318,3,FALSE)+L18</f>
        <v>-116122</v>
      </c>
      <c r="S18" s="40">
        <f>+VLOOKUP(A18,'Change in Proportion Layers'!$AK$8:$AP$318,4,FALSE)+M18</f>
        <v>-23192</v>
      </c>
      <c r="T18" s="40">
        <f>+VLOOKUP(A18,'Change in Proportion Layers'!$AK$8:$AP$318,5,FALSE)+N18</f>
        <v>-50262</v>
      </c>
      <c r="U18" s="40">
        <f>+VLOOKUP(A18,'Change in Proportion Layers'!$AK$8:$AP$318,6,FALSE)+O18</f>
        <v>-61423</v>
      </c>
      <c r="W18" s="40">
        <f>('OPEB Amounts_Report'!G18-'OPEB Amounts_Report'!M18)</f>
        <v>-405000</v>
      </c>
      <c r="X18" s="109">
        <f t="shared" si="5"/>
        <v>0</v>
      </c>
    </row>
    <row r="19" spans="1:24">
      <c r="A19" s="24">
        <v>2435</v>
      </c>
      <c r="B19" s="3" t="s">
        <v>391</v>
      </c>
      <c r="C19" s="38">
        <f t="shared" si="0"/>
        <v>7768</v>
      </c>
      <c r="D19" s="38">
        <f t="shared" si="1"/>
        <v>3593</v>
      </c>
      <c r="E19" s="38">
        <f t="shared" si="2"/>
        <v>20513</v>
      </c>
      <c r="F19" s="38">
        <f t="shared" si="3"/>
        <v>19633</v>
      </c>
      <c r="G19" s="38">
        <f t="shared" si="4"/>
        <v>10374</v>
      </c>
      <c r="I19" s="41"/>
      <c r="K19" s="40">
        <f>ROUND(VLOOKUP($A19,'Contribution Allocation_Report'!$A$9:$D$314,4,FALSE)*$K$321,0)</f>
        <v>-110879</v>
      </c>
      <c r="L19" s="40">
        <f>ROUND(VLOOKUP($A19,'Contribution Allocation_Report'!$A$9:$D$314,4,FALSE)*$L$321,0)</f>
        <v>-74755</v>
      </c>
      <c r="M19" s="40">
        <f>ROUND(VLOOKUP($A19,'Contribution Allocation_Report'!$A$9:$D$314,4,FALSE)*$M$321,0)</f>
        <v>-23978</v>
      </c>
      <c r="N19" s="40">
        <f>ROUND(VLOOKUP($A19,'Contribution Allocation_Report'!$A$9:$D$314,4,FALSE)*$N$321,0)</f>
        <v>987</v>
      </c>
      <c r="O19" s="40">
        <f>ROUND(VLOOKUP($A19,'Contribution Allocation_Report'!$A$9:$D$314,4,FALSE)*$O$321,0)</f>
        <v>-2664</v>
      </c>
      <c r="Q19" s="40">
        <f>+VLOOKUP(A19,'Change in Proportion Layers'!$AK$8:$AP$318,2,FALSE)+K19</f>
        <v>7768</v>
      </c>
      <c r="R19" s="40">
        <f>+VLOOKUP(A19,'Change in Proportion Layers'!$AK$8:$AP$318,3,FALSE)+L19</f>
        <v>3593</v>
      </c>
      <c r="S19" s="40">
        <f>+VLOOKUP(A19,'Change in Proportion Layers'!$AK$8:$AP$318,4,FALSE)+M19</f>
        <v>20513</v>
      </c>
      <c r="T19" s="40">
        <f>+VLOOKUP(A19,'Change in Proportion Layers'!$AK$8:$AP$318,5,FALSE)+N19</f>
        <v>19633</v>
      </c>
      <c r="U19" s="40">
        <f>+VLOOKUP(A19,'Change in Proportion Layers'!$AK$8:$AP$318,6,FALSE)+O19-1</f>
        <v>10374</v>
      </c>
      <c r="W19" s="40">
        <f>('OPEB Amounts_Report'!G19-'OPEB Amounts_Report'!M19)</f>
        <v>61881</v>
      </c>
      <c r="X19" s="109">
        <f t="shared" si="5"/>
        <v>0</v>
      </c>
    </row>
    <row r="20" spans="1:24">
      <c r="A20" s="22">
        <v>4560</v>
      </c>
      <c r="B20" s="23" t="s">
        <v>12</v>
      </c>
      <c r="C20" s="37">
        <f t="shared" si="0"/>
        <v>-234833</v>
      </c>
      <c r="D20" s="37">
        <f t="shared" si="1"/>
        <v>-202355</v>
      </c>
      <c r="E20" s="37">
        <f t="shared" si="2"/>
        <v>-72969</v>
      </c>
      <c r="F20" s="37">
        <f t="shared" si="3"/>
        <v>-18897</v>
      </c>
      <c r="G20" s="37">
        <f t="shared" si="4"/>
        <v>-32228</v>
      </c>
      <c r="I20" s="41"/>
      <c r="K20" s="40">
        <f>ROUND(VLOOKUP($A20,'Contribution Allocation_Report'!$A$9:$D$314,4,FALSE)*$K$321,0)</f>
        <v>-214737</v>
      </c>
      <c r="L20" s="40">
        <f>ROUND(VLOOKUP($A20,'Contribution Allocation_Report'!$A$9:$D$314,4,FALSE)*$L$321,0)</f>
        <v>-144777</v>
      </c>
      <c r="M20" s="40">
        <f>ROUND(VLOOKUP($A20,'Contribution Allocation_Report'!$A$9:$D$314,4,FALSE)*$M$321,0)+1</f>
        <v>-46436</v>
      </c>
      <c r="N20" s="40">
        <f>ROUND(VLOOKUP($A20,'Contribution Allocation_Report'!$A$9:$D$314,4,FALSE)*$N$321,0)</f>
        <v>1912</v>
      </c>
      <c r="O20" s="40">
        <f>ROUND(VLOOKUP($A20,'Contribution Allocation_Report'!$A$9:$D$314,4,FALSE)*$O$321,0)</f>
        <v>-5159</v>
      </c>
      <c r="Q20" s="40">
        <f>+VLOOKUP(A20,'Change in Proportion Layers'!$AK$8:$AP$318,2,FALSE)+K20</f>
        <v>-234833</v>
      </c>
      <c r="R20" s="40">
        <f>+VLOOKUP(A20,'Change in Proportion Layers'!$AK$8:$AP$318,3,FALSE)+L20</f>
        <v>-202355</v>
      </c>
      <c r="S20" s="40">
        <f>+VLOOKUP(A20,'Change in Proportion Layers'!$AK$8:$AP$318,4,FALSE)+M20</f>
        <v>-72969</v>
      </c>
      <c r="T20" s="40">
        <f>+VLOOKUP(A20,'Change in Proportion Layers'!$AK$8:$AP$318,5,FALSE)+N20</f>
        <v>-18897</v>
      </c>
      <c r="U20" s="40">
        <f>+VLOOKUP(A20,'Change in Proportion Layers'!$AK$8:$AP$318,6,FALSE)+O20</f>
        <v>-32228</v>
      </c>
      <c r="W20" s="40">
        <f>('OPEB Amounts_Report'!G20-'OPEB Amounts_Report'!M20)</f>
        <v>-561282</v>
      </c>
      <c r="X20" s="109">
        <f t="shared" si="5"/>
        <v>0</v>
      </c>
    </row>
    <row r="21" spans="1:24">
      <c r="A21" s="24">
        <v>2341</v>
      </c>
      <c r="B21" s="3" t="s">
        <v>406</v>
      </c>
      <c r="C21" s="38">
        <f t="shared" si="0"/>
        <v>-170697</v>
      </c>
      <c r="D21" s="38">
        <f t="shared" si="1"/>
        <v>-112740</v>
      </c>
      <c r="E21" s="38">
        <f t="shared" si="2"/>
        <v>-48456</v>
      </c>
      <c r="F21" s="38">
        <f t="shared" si="3"/>
        <v>-9545</v>
      </c>
      <c r="G21" s="38">
        <f t="shared" si="4"/>
        <v>-6072</v>
      </c>
      <c r="I21" s="41"/>
      <c r="K21" s="40">
        <f>ROUND(VLOOKUP($A21,'Contribution Allocation_Report'!$A$9:$D$314,4,FALSE)*$K$321,0)</f>
        <v>-135607</v>
      </c>
      <c r="L21" s="40">
        <f>ROUND(VLOOKUP($A21,'Contribution Allocation_Report'!$A$9:$D$314,4,FALSE)*$L$321,0)</f>
        <v>-91427</v>
      </c>
      <c r="M21" s="40">
        <f>ROUND(VLOOKUP($A21,'Contribution Allocation_Report'!$A$9:$D$314,4,FALSE)*$M$321,0)+1</f>
        <v>-29324</v>
      </c>
      <c r="N21" s="40">
        <f>ROUND(VLOOKUP($A21,'Contribution Allocation_Report'!$A$9:$D$314,4,FALSE)*$N$321,0)</f>
        <v>1207</v>
      </c>
      <c r="O21" s="40">
        <f>ROUND(VLOOKUP($A21,'Contribution Allocation_Report'!$A$9:$D$314,4,FALSE)*$O$321,0)</f>
        <v>-3258</v>
      </c>
      <c r="Q21" s="40">
        <f>+VLOOKUP(A21,'Change in Proportion Layers'!$AK$8:$AP$318,2,FALSE)+K21</f>
        <v>-170697</v>
      </c>
      <c r="R21" s="40">
        <f>+VLOOKUP(A21,'Change in Proportion Layers'!$AK$8:$AP$318,3,FALSE)+L21</f>
        <v>-112740</v>
      </c>
      <c r="S21" s="40">
        <f>+VLOOKUP(A21,'Change in Proportion Layers'!$AK$8:$AP$318,4,FALSE)+M21</f>
        <v>-48456</v>
      </c>
      <c r="T21" s="40">
        <f>+VLOOKUP(A21,'Change in Proportion Layers'!$AK$8:$AP$318,5,FALSE)+N21</f>
        <v>-9545</v>
      </c>
      <c r="U21" s="40">
        <f>+VLOOKUP(A21,'Change in Proportion Layers'!$AK$8:$AP$318,6,FALSE)+O21</f>
        <v>-6072</v>
      </c>
      <c r="W21" s="40">
        <f>('OPEB Amounts_Report'!G21-'OPEB Amounts_Report'!M21)</f>
        <v>-347510</v>
      </c>
      <c r="X21" s="109">
        <f t="shared" si="5"/>
        <v>0</v>
      </c>
    </row>
    <row r="22" spans="1:24">
      <c r="A22" s="22">
        <v>4580</v>
      </c>
      <c r="B22" s="23" t="s">
        <v>392</v>
      </c>
      <c r="C22" s="37">
        <f t="shared" si="0"/>
        <v>-120598</v>
      </c>
      <c r="D22" s="37">
        <f t="shared" si="1"/>
        <v>-73896</v>
      </c>
      <c r="E22" s="37">
        <f t="shared" si="2"/>
        <v>-21853</v>
      </c>
      <c r="F22" s="37">
        <f t="shared" si="3"/>
        <v>-1388</v>
      </c>
      <c r="G22" s="37">
        <f t="shared" si="4"/>
        <v>-8168</v>
      </c>
      <c r="I22" s="41"/>
      <c r="K22" s="40">
        <f>ROUND(VLOOKUP($A22,'Contribution Allocation_Report'!$A$9:$D$314,4,FALSE)*$K$321,0)</f>
        <v>-136798</v>
      </c>
      <c r="L22" s="40">
        <f>ROUND(VLOOKUP($A22,'Contribution Allocation_Report'!$A$9:$D$314,4,FALSE)*$L$321,0)</f>
        <v>-92230</v>
      </c>
      <c r="M22" s="40">
        <f>ROUND(VLOOKUP($A22,'Contribution Allocation_Report'!$A$9:$D$314,4,FALSE)*$M$321,0)</f>
        <v>-29583</v>
      </c>
      <c r="N22" s="40">
        <f>ROUND(VLOOKUP($A22,'Contribution Allocation_Report'!$A$9:$D$314,4,FALSE)*$N$321,0)</f>
        <v>1218</v>
      </c>
      <c r="O22" s="40">
        <f>ROUND(VLOOKUP($A22,'Contribution Allocation_Report'!$A$9:$D$314,4,FALSE)*$O$321,0)</f>
        <v>-3287</v>
      </c>
      <c r="Q22" s="40">
        <f>+VLOOKUP(A22,'Change in Proportion Layers'!$AK$8:$AP$318,2,FALSE)+K22</f>
        <v>-120598</v>
      </c>
      <c r="R22" s="40">
        <f>+VLOOKUP(A22,'Change in Proportion Layers'!$AK$8:$AP$318,3,FALSE)+L22</f>
        <v>-73896</v>
      </c>
      <c r="S22" s="40">
        <f>+VLOOKUP(A22,'Change in Proportion Layers'!$AK$8:$AP$318,4,FALSE)+M22</f>
        <v>-21853</v>
      </c>
      <c r="T22" s="40">
        <f>+VLOOKUP(A22,'Change in Proportion Layers'!$AK$8:$AP$318,5,FALSE)+N22</f>
        <v>-1388</v>
      </c>
      <c r="U22" s="40">
        <f>+VLOOKUP(A22,'Change in Proportion Layers'!$AK$8:$AP$318,6,FALSE)+O22</f>
        <v>-8168</v>
      </c>
      <c r="W22" s="40">
        <f>('OPEB Amounts_Report'!G22-'OPEB Amounts_Report'!M22)</f>
        <v>-225903</v>
      </c>
      <c r="X22" s="109">
        <f t="shared" si="5"/>
        <v>0</v>
      </c>
    </row>
    <row r="23" spans="1:24">
      <c r="A23" s="24">
        <v>2003</v>
      </c>
      <c r="B23" s="3" t="s">
        <v>13</v>
      </c>
      <c r="C23" s="38">
        <f t="shared" si="0"/>
        <v>-48639104</v>
      </c>
      <c r="D23" s="38">
        <f t="shared" si="1"/>
        <v>-32845431</v>
      </c>
      <c r="E23" s="38">
        <f t="shared" si="2"/>
        <v>-13807402</v>
      </c>
      <c r="F23" s="38">
        <f t="shared" si="3"/>
        <v>-2769343</v>
      </c>
      <c r="G23" s="38">
        <f t="shared" si="4"/>
        <v>-2881851</v>
      </c>
      <c r="I23" s="41"/>
      <c r="K23" s="40">
        <f>ROUND(VLOOKUP($A23,'Contribution Allocation_Report'!$A$9:$D$314,4,FALSE)*$K$321,0)</f>
        <v>-42949495</v>
      </c>
      <c r="L23" s="40">
        <f>ROUND(VLOOKUP($A23,'Contribution Allocation_Report'!$A$9:$D$314,4,FALSE)*$L$321,0)</f>
        <v>-28956762</v>
      </c>
      <c r="M23" s="40">
        <f>ROUND(VLOOKUP($A23,'Contribution Allocation_Report'!$A$9:$D$314,4,FALSE)*$M$321,0)</f>
        <v>-9287889</v>
      </c>
      <c r="N23" s="40">
        <f>ROUND(VLOOKUP($A23,'Contribution Allocation_Report'!$A$9:$D$314,4,FALSE)*$N$321,0)</f>
        <v>382341</v>
      </c>
      <c r="O23" s="40">
        <f>ROUND(VLOOKUP($A23,'Contribution Allocation_Report'!$A$9:$D$314,4,FALSE)*$O$321,0)</f>
        <v>-1031927</v>
      </c>
      <c r="Q23" s="40">
        <f>+VLOOKUP(A23,'Change in Proportion Layers'!$AK$8:$AP$318,2,FALSE)+K23</f>
        <v>-48639104</v>
      </c>
      <c r="R23" s="40">
        <f>+VLOOKUP(A23,'Change in Proportion Layers'!$AK$8:$AP$318,3,FALSE)+L23</f>
        <v>-32845431</v>
      </c>
      <c r="S23" s="40">
        <f>+VLOOKUP(A23,'Change in Proportion Layers'!$AK$8:$AP$318,4,FALSE)+M23</f>
        <v>-13807402</v>
      </c>
      <c r="T23" s="40">
        <f>+VLOOKUP(A23,'Change in Proportion Layers'!$AK$8:$AP$318,5,FALSE)+N23</f>
        <v>-2769343</v>
      </c>
      <c r="U23" s="40">
        <f>+VLOOKUP(A23,'Change in Proportion Layers'!$AK$8:$AP$318,6,FALSE)+O23</f>
        <v>-2881851</v>
      </c>
      <c r="W23" s="40">
        <f>('OPEB Amounts_Report'!G23-'OPEB Amounts_Report'!M23)</f>
        <v>-100943131</v>
      </c>
      <c r="X23" s="109">
        <f t="shared" si="5"/>
        <v>0</v>
      </c>
    </row>
    <row r="24" spans="1:24">
      <c r="A24" s="22">
        <v>2412</v>
      </c>
      <c r="B24" s="23" t="s">
        <v>14</v>
      </c>
      <c r="C24" s="37">
        <f t="shared" si="0"/>
        <v>-94844</v>
      </c>
      <c r="D24" s="37">
        <f t="shared" si="1"/>
        <v>-175444</v>
      </c>
      <c r="E24" s="37">
        <f t="shared" si="2"/>
        <v>-66721</v>
      </c>
      <c r="F24" s="37">
        <f t="shared" si="3"/>
        <v>46424</v>
      </c>
      <c r="G24" s="37">
        <f t="shared" si="4"/>
        <v>3472</v>
      </c>
      <c r="I24" s="41"/>
      <c r="K24" s="40">
        <f>ROUND(VLOOKUP($A24,'Contribution Allocation_Report'!$A$9:$D$314,4,FALSE)*$K$321,0)</f>
        <v>-450620</v>
      </c>
      <c r="L24" s="40">
        <f>ROUND(VLOOKUP($A24,'Contribution Allocation_Report'!$A$9:$D$314,4,FALSE)*$L$321,0)</f>
        <v>-303811</v>
      </c>
      <c r="M24" s="40">
        <f>ROUND(VLOOKUP($A24,'Contribution Allocation_Report'!$A$9:$D$314,4,FALSE)*$M$321,0)</f>
        <v>-97447</v>
      </c>
      <c r="N24" s="40">
        <f>ROUND(VLOOKUP($A24,'Contribution Allocation_Report'!$A$9:$D$314,4,FALSE)*$N$321,0)</f>
        <v>4011</v>
      </c>
      <c r="O24" s="40">
        <f>ROUND(VLOOKUP($A24,'Contribution Allocation_Report'!$A$9:$D$314,4,FALSE)*$O$321,0)</f>
        <v>-10827</v>
      </c>
      <c r="Q24" s="40">
        <f>+VLOOKUP(A24,'Change in Proportion Layers'!$AK$8:$AP$318,2,FALSE)+K24</f>
        <v>-94844</v>
      </c>
      <c r="R24" s="40">
        <f>+VLOOKUP(A24,'Change in Proportion Layers'!$AK$8:$AP$318,3,FALSE)+L24</f>
        <v>-175444</v>
      </c>
      <c r="S24" s="40">
        <f>+VLOOKUP(A24,'Change in Proportion Layers'!$AK$8:$AP$318,4,FALSE)+M24</f>
        <v>-66721</v>
      </c>
      <c r="T24" s="40">
        <f>+VLOOKUP(A24,'Change in Proportion Layers'!$AK$8:$AP$318,5,FALSE)+N24</f>
        <v>46424</v>
      </c>
      <c r="U24" s="40">
        <f>+VLOOKUP(A24,'Change in Proportion Layers'!$AK$8:$AP$318,6,FALSE)+O24</f>
        <v>3472</v>
      </c>
      <c r="W24" s="40">
        <f>('OPEB Amounts_Report'!G24-'OPEB Amounts_Report'!M24)</f>
        <v>-287113</v>
      </c>
      <c r="X24" s="109">
        <f t="shared" si="5"/>
        <v>0</v>
      </c>
    </row>
    <row r="25" spans="1:24">
      <c r="A25" s="24">
        <v>2402</v>
      </c>
      <c r="B25" s="3" t="s">
        <v>15</v>
      </c>
      <c r="C25" s="38">
        <f t="shared" si="0"/>
        <v>-54199</v>
      </c>
      <c r="D25" s="38">
        <f t="shared" si="1"/>
        <v>-10287</v>
      </c>
      <c r="E25" s="38">
        <f t="shared" si="2"/>
        <v>61311</v>
      </c>
      <c r="F25" s="38">
        <f t="shared" si="3"/>
        <v>67588</v>
      </c>
      <c r="G25" s="38">
        <f t="shared" si="4"/>
        <v>8976</v>
      </c>
      <c r="I25" s="41"/>
      <c r="K25" s="40">
        <f>ROUND(VLOOKUP($A25,'Contribution Allocation_Report'!$A$9:$D$314,4,FALSE)*$K$321,0)</f>
        <v>-232022</v>
      </c>
      <c r="L25" s="40">
        <f>ROUND(VLOOKUP($A25,'Contribution Allocation_Report'!$A$9:$D$314,4,FALSE)*$L$321,0)</f>
        <v>-156430</v>
      </c>
      <c r="M25" s="40">
        <f>ROUND(VLOOKUP($A25,'Contribution Allocation_Report'!$A$9:$D$314,4,FALSE)*$M$321,0)+1</f>
        <v>-50174</v>
      </c>
      <c r="N25" s="40">
        <f>ROUND(VLOOKUP($A25,'Contribution Allocation_Report'!$A$9:$D$314,4,FALSE)*$N$321,0)</f>
        <v>2065</v>
      </c>
      <c r="O25" s="40">
        <f>ROUND(VLOOKUP($A25,'Contribution Allocation_Report'!$A$9:$D$314,4,FALSE)*$O$321,0)</f>
        <v>-5575</v>
      </c>
      <c r="Q25" s="40">
        <f>+VLOOKUP(A25,'Change in Proportion Layers'!$AK$8:$AP$318,2,FALSE)+K25</f>
        <v>-54199</v>
      </c>
      <c r="R25" s="40">
        <f>+VLOOKUP(A25,'Change in Proportion Layers'!$AK$8:$AP$318,3,FALSE)+L25</f>
        <v>-10287</v>
      </c>
      <c r="S25" s="40">
        <f>+VLOOKUP(A25,'Change in Proportion Layers'!$AK$8:$AP$318,4,FALSE)+M25</f>
        <v>61311</v>
      </c>
      <c r="T25" s="40">
        <f>+VLOOKUP(A25,'Change in Proportion Layers'!$AK$8:$AP$318,5,FALSE)+N25</f>
        <v>67588</v>
      </c>
      <c r="U25" s="40">
        <f>+VLOOKUP(A25,'Change in Proportion Layers'!$AK$8:$AP$318,6,FALSE)+O25</f>
        <v>8976</v>
      </c>
      <c r="W25" s="40">
        <f>('OPEB Amounts_Report'!G25-'OPEB Amounts_Report'!M25)</f>
        <v>73389</v>
      </c>
      <c r="X25" s="109">
        <f t="shared" si="5"/>
        <v>0</v>
      </c>
    </row>
    <row r="26" spans="1:24">
      <c r="A26" s="22">
        <v>2361</v>
      </c>
      <c r="B26" s="23" t="s">
        <v>16</v>
      </c>
      <c r="C26" s="37">
        <f t="shared" si="0"/>
        <v>-101337</v>
      </c>
      <c r="D26" s="37">
        <f t="shared" si="1"/>
        <v>-67941</v>
      </c>
      <c r="E26" s="37">
        <f t="shared" si="2"/>
        <v>-46357</v>
      </c>
      <c r="F26" s="37">
        <f t="shared" si="3"/>
        <v>-8477</v>
      </c>
      <c r="G26" s="37">
        <f t="shared" si="4"/>
        <v>-5862</v>
      </c>
      <c r="I26" s="41"/>
      <c r="K26" s="40">
        <f>ROUND(VLOOKUP($A26,'Contribution Allocation_Report'!$A$9:$D$314,4,FALSE)*$K$321,0)</f>
        <v>-67925</v>
      </c>
      <c r="L26" s="40">
        <f>ROUND(VLOOKUP($A26,'Contribution Allocation_Report'!$A$9:$D$314,4,FALSE)*$L$321,0)-1</f>
        <v>-45796</v>
      </c>
      <c r="M26" s="40">
        <f>ROUND(VLOOKUP($A26,'Contribution Allocation_Report'!$A$9:$D$314,4,FALSE)*$M$321,0)</f>
        <v>-14689</v>
      </c>
      <c r="N26" s="40">
        <f>ROUND(VLOOKUP($A26,'Contribution Allocation_Report'!$A$9:$D$314,4,FALSE)*$N$321,0)</f>
        <v>605</v>
      </c>
      <c r="O26" s="40">
        <f>ROUND(VLOOKUP($A26,'Contribution Allocation_Report'!$A$9:$D$314,4,FALSE)*$O$321,0)</f>
        <v>-1632</v>
      </c>
      <c r="Q26" s="40">
        <f>+VLOOKUP(A26,'Change in Proportion Layers'!$AK$8:$AP$318,2,FALSE)+K26</f>
        <v>-101337</v>
      </c>
      <c r="R26" s="40">
        <f>+VLOOKUP(A26,'Change in Proportion Layers'!$AK$8:$AP$318,3,FALSE)+L26</f>
        <v>-67941</v>
      </c>
      <c r="S26" s="40">
        <f>+VLOOKUP(A26,'Change in Proportion Layers'!$AK$8:$AP$318,4,FALSE)+M26</f>
        <v>-46357</v>
      </c>
      <c r="T26" s="40">
        <f>+VLOOKUP(A26,'Change in Proportion Layers'!$AK$8:$AP$318,5,FALSE)+N26</f>
        <v>-8477</v>
      </c>
      <c r="U26" s="40">
        <f>+VLOOKUP(A26,'Change in Proportion Layers'!$AK$8:$AP$318,6,FALSE)+O26</f>
        <v>-5862</v>
      </c>
      <c r="W26" s="40">
        <f>('OPEB Amounts_Report'!G26-'OPEB Amounts_Report'!M26)</f>
        <v>-229974</v>
      </c>
      <c r="X26" s="109">
        <f t="shared" si="5"/>
        <v>0</v>
      </c>
    </row>
    <row r="27" spans="1:24">
      <c r="A27" s="24">
        <v>8347</v>
      </c>
      <c r="B27" s="3" t="s">
        <v>17</v>
      </c>
      <c r="C27" s="38">
        <f t="shared" si="0"/>
        <v>-111555</v>
      </c>
      <c r="D27" s="38">
        <f t="shared" si="1"/>
        <v>-87063</v>
      </c>
      <c r="E27" s="38">
        <f t="shared" si="2"/>
        <v>-18105</v>
      </c>
      <c r="F27" s="38">
        <f t="shared" si="3"/>
        <v>-19569</v>
      </c>
      <c r="G27" s="38">
        <f t="shared" si="4"/>
        <v>-30264</v>
      </c>
      <c r="I27" s="41"/>
      <c r="K27" s="40">
        <f>ROUND(VLOOKUP($A27,'Contribution Allocation_Report'!$A$9:$D$314,4,FALSE)*$K$321,0)</f>
        <v>-106303</v>
      </c>
      <c r="L27" s="40">
        <f>ROUND(VLOOKUP($A27,'Contribution Allocation_Report'!$A$9:$D$314,4,FALSE)*$L$321,0)</f>
        <v>-71670</v>
      </c>
      <c r="M27" s="40">
        <f>ROUND(VLOOKUP($A27,'Contribution Allocation_Report'!$A$9:$D$314,4,FALSE)*$M$321,0)</f>
        <v>-22988</v>
      </c>
      <c r="N27" s="40">
        <f>ROUND(VLOOKUP($A27,'Contribution Allocation_Report'!$A$9:$D$314,4,FALSE)*$N$321,0)</f>
        <v>946</v>
      </c>
      <c r="O27" s="40">
        <f>ROUND(VLOOKUP($A27,'Contribution Allocation_Report'!$A$9:$D$314,4,FALSE)*$O$321,0)</f>
        <v>-2554</v>
      </c>
      <c r="Q27" s="40">
        <f>+VLOOKUP(A27,'Change in Proportion Layers'!$AK$8:$AP$318,2,FALSE)+K27</f>
        <v>-111555</v>
      </c>
      <c r="R27" s="40">
        <f>+VLOOKUP(A27,'Change in Proportion Layers'!$AK$8:$AP$318,3,FALSE)+L27</f>
        <v>-87063</v>
      </c>
      <c r="S27" s="40">
        <f>+VLOOKUP(A27,'Change in Proportion Layers'!$AK$8:$AP$318,4,FALSE)+M27</f>
        <v>-18105</v>
      </c>
      <c r="T27" s="40">
        <f>+VLOOKUP(A27,'Change in Proportion Layers'!$AK$8:$AP$318,5,FALSE)+N27</f>
        <v>-19569</v>
      </c>
      <c r="U27" s="40">
        <f>+VLOOKUP(A27,'Change in Proportion Layers'!$AK$8:$AP$318,6,FALSE)+O27</f>
        <v>-30264</v>
      </c>
      <c r="W27" s="40">
        <f>('OPEB Amounts_Report'!G27-'OPEB Amounts_Report'!M27)</f>
        <v>-266556</v>
      </c>
      <c r="X27" s="109">
        <f t="shared" si="5"/>
        <v>0</v>
      </c>
    </row>
    <row r="28" spans="1:24">
      <c r="A28" s="22">
        <v>2356</v>
      </c>
      <c r="B28" s="23" t="s">
        <v>18</v>
      </c>
      <c r="C28" s="37">
        <f t="shared" si="0"/>
        <v>-223256</v>
      </c>
      <c r="D28" s="37">
        <f t="shared" si="1"/>
        <v>-149594</v>
      </c>
      <c r="E28" s="37">
        <f t="shared" si="2"/>
        <v>-54272</v>
      </c>
      <c r="F28" s="37">
        <f t="shared" si="3"/>
        <v>-7987</v>
      </c>
      <c r="G28" s="37">
        <f t="shared" si="4"/>
        <v>-17211</v>
      </c>
      <c r="I28" s="41"/>
      <c r="K28" s="40">
        <f>ROUND(VLOOKUP($A28,'Contribution Allocation_Report'!$A$9:$D$314,4,FALSE)*$K$321,0)</f>
        <v>-234182</v>
      </c>
      <c r="L28" s="40">
        <f>ROUND(VLOOKUP($A28,'Contribution Allocation_Report'!$A$9:$D$314,4,FALSE)*$L$321,0)</f>
        <v>-157887</v>
      </c>
      <c r="M28" s="40">
        <f>ROUND(VLOOKUP($A28,'Contribution Allocation_Report'!$A$9:$D$314,4,FALSE)*$M$321,0)</f>
        <v>-50642</v>
      </c>
      <c r="N28" s="40">
        <f>ROUND(VLOOKUP($A28,'Contribution Allocation_Report'!$A$9:$D$314,4,FALSE)*$N$321,0)</f>
        <v>2085</v>
      </c>
      <c r="O28" s="40">
        <f>ROUND(VLOOKUP($A28,'Contribution Allocation_Report'!$A$9:$D$314,4,FALSE)*$O$321,0)</f>
        <v>-5627</v>
      </c>
      <c r="Q28" s="40">
        <f>+VLOOKUP(A28,'Change in Proportion Layers'!$AK$8:$AP$318,2,FALSE)+K28</f>
        <v>-223256</v>
      </c>
      <c r="R28" s="40">
        <f>+VLOOKUP(A28,'Change in Proportion Layers'!$AK$8:$AP$318,3,FALSE)+L28</f>
        <v>-149594</v>
      </c>
      <c r="S28" s="40">
        <f>+VLOOKUP(A28,'Change in Proportion Layers'!$AK$8:$AP$318,4,FALSE)+M28</f>
        <v>-54272</v>
      </c>
      <c r="T28" s="40">
        <f>+VLOOKUP(A28,'Change in Proportion Layers'!$AK$8:$AP$318,5,FALSE)+N28</f>
        <v>-7987</v>
      </c>
      <c r="U28" s="40">
        <f>+VLOOKUP(A28,'Change in Proportion Layers'!$AK$8:$AP$318,6,FALSE)+O28</f>
        <v>-17211</v>
      </c>
      <c r="W28" s="40">
        <f>('OPEB Amounts_Report'!G28-'OPEB Amounts_Report'!M28)</f>
        <v>-452320</v>
      </c>
      <c r="X28" s="109">
        <f t="shared" si="5"/>
        <v>0</v>
      </c>
    </row>
    <row r="29" spans="1:24">
      <c r="A29" s="24">
        <v>7335</v>
      </c>
      <c r="B29" s="3" t="s">
        <v>19</v>
      </c>
      <c r="C29" s="38">
        <f t="shared" si="0"/>
        <v>-102306</v>
      </c>
      <c r="D29" s="38">
        <f t="shared" si="1"/>
        <v>-77960</v>
      </c>
      <c r="E29" s="38">
        <f t="shared" si="2"/>
        <v>-81736</v>
      </c>
      <c r="F29" s="38">
        <f t="shared" si="3"/>
        <v>-33722</v>
      </c>
      <c r="G29" s="38">
        <f t="shared" si="4"/>
        <v>-12387</v>
      </c>
      <c r="I29" s="41"/>
      <c r="K29" s="40">
        <f>ROUND(VLOOKUP($A29,'Contribution Allocation_Report'!$A$9:$D$314,4,FALSE)*$K$321,0)</f>
        <v>-55894</v>
      </c>
      <c r="L29" s="40">
        <f>ROUND(VLOOKUP($A29,'Contribution Allocation_Report'!$A$9:$D$314,4,FALSE)*$L$321,0)</f>
        <v>-37684</v>
      </c>
      <c r="M29" s="40">
        <f>ROUND(VLOOKUP($A29,'Contribution Allocation_Report'!$A$9:$D$314,4,FALSE)*$M$321,0)</f>
        <v>-12087</v>
      </c>
      <c r="N29" s="40">
        <f>ROUND(VLOOKUP($A29,'Contribution Allocation_Report'!$A$9:$D$314,4,FALSE)*$N$321,0)</f>
        <v>498</v>
      </c>
      <c r="O29" s="40">
        <f>ROUND(VLOOKUP($A29,'Contribution Allocation_Report'!$A$9:$D$314,4,FALSE)*$O$321,0)</f>
        <v>-1343</v>
      </c>
      <c r="Q29" s="40">
        <f>+VLOOKUP(A29,'Change in Proportion Layers'!$AK$8:$AP$318,2,FALSE)+K29</f>
        <v>-102306</v>
      </c>
      <c r="R29" s="40">
        <f>+VLOOKUP(A29,'Change in Proportion Layers'!$AK$8:$AP$318,3,FALSE)+L29</f>
        <v>-77960</v>
      </c>
      <c r="S29" s="40">
        <f>+VLOOKUP(A29,'Change in Proportion Layers'!$AK$8:$AP$318,4,FALSE)+M29</f>
        <v>-81736</v>
      </c>
      <c r="T29" s="40">
        <f>+VLOOKUP(A29,'Change in Proportion Layers'!$AK$8:$AP$318,5,FALSE)+N29</f>
        <v>-33722</v>
      </c>
      <c r="U29" s="40">
        <f>+VLOOKUP(A29,'Change in Proportion Layers'!$AK$8:$AP$318,6,FALSE)+O29-2</f>
        <v>-12387</v>
      </c>
      <c r="W29" s="40">
        <f>('OPEB Amounts_Report'!G29-'OPEB Amounts_Report'!M29)</f>
        <v>-308111</v>
      </c>
      <c r="X29" s="109">
        <f t="shared" si="5"/>
        <v>0</v>
      </c>
    </row>
    <row r="30" spans="1:24">
      <c r="A30" s="22">
        <v>2434</v>
      </c>
      <c r="B30" s="23" t="s">
        <v>474</v>
      </c>
      <c r="C30" s="37">
        <f t="shared" si="0"/>
        <v>-12005</v>
      </c>
      <c r="D30" s="37">
        <f t="shared" si="1"/>
        <v>-28879</v>
      </c>
      <c r="E30" s="37">
        <f t="shared" si="2"/>
        <v>-3609</v>
      </c>
      <c r="F30" s="37">
        <f t="shared" si="3"/>
        <v>5604</v>
      </c>
      <c r="G30" s="37">
        <f t="shared" si="4"/>
        <v>3362</v>
      </c>
      <c r="I30" s="41"/>
      <c r="K30" s="40">
        <f>ROUND(VLOOKUP($A30,'Contribution Allocation_Report'!$A$9:$D$314,4,FALSE)*$K$321,0)</f>
        <v>-94705</v>
      </c>
      <c r="L30" s="40">
        <f>ROUND(VLOOKUP($A30,'Contribution Allocation_Report'!$A$9:$D$314,4,FALSE)*$L$321,0)</f>
        <v>-63850</v>
      </c>
      <c r="M30" s="40">
        <f>ROUND(VLOOKUP($A30,'Contribution Allocation_Report'!$A$9:$D$314,4,FALSE)*$M$321,0)</f>
        <v>-20480</v>
      </c>
      <c r="N30" s="40">
        <f>ROUND(VLOOKUP($A30,'Contribution Allocation_Report'!$A$9:$D$314,4,FALSE)*$N$321,0)</f>
        <v>843</v>
      </c>
      <c r="O30" s="40">
        <f>ROUND(VLOOKUP($A30,'Contribution Allocation_Report'!$A$9:$D$314,4,FALSE)*$O$321,0)</f>
        <v>-2275</v>
      </c>
      <c r="Q30" s="40">
        <f>+VLOOKUP(A30,'Change in Proportion Layers'!$AK$8:$AP$318,2,FALSE)+K30</f>
        <v>-12005</v>
      </c>
      <c r="R30" s="40">
        <f>+VLOOKUP(A30,'Change in Proportion Layers'!$AK$8:$AP$318,3,FALSE)+L30</f>
        <v>-28879</v>
      </c>
      <c r="S30" s="40">
        <f>+VLOOKUP(A30,'Change in Proportion Layers'!$AK$8:$AP$318,4,FALSE)+M30</f>
        <v>-3609</v>
      </c>
      <c r="T30" s="40">
        <f>+VLOOKUP(A30,'Change in Proportion Layers'!$AK$8:$AP$318,5,FALSE)+N30</f>
        <v>5604</v>
      </c>
      <c r="U30" s="40">
        <f>+VLOOKUP(A30,'Change in Proportion Layers'!$AK$8:$AP$318,6,FALSE)+O30</f>
        <v>3362</v>
      </c>
      <c r="W30" s="40">
        <f>('OPEB Amounts_Report'!G30-'OPEB Amounts_Report'!M30)</f>
        <v>-35527</v>
      </c>
      <c r="X30" s="109">
        <f t="shared" si="5"/>
        <v>0</v>
      </c>
    </row>
    <row r="31" spans="1:24">
      <c r="A31" s="24">
        <v>2303</v>
      </c>
      <c r="B31" s="3" t="s">
        <v>20</v>
      </c>
      <c r="C31" s="38">
        <f t="shared" si="0"/>
        <v>-209886</v>
      </c>
      <c r="D31" s="38">
        <f t="shared" si="1"/>
        <v>-150043</v>
      </c>
      <c r="E31" s="38">
        <f t="shared" si="2"/>
        <v>-72290</v>
      </c>
      <c r="F31" s="38">
        <f t="shared" si="3"/>
        <v>-46002</v>
      </c>
      <c r="G31" s="38">
        <f t="shared" si="4"/>
        <v>-18782</v>
      </c>
      <c r="I31" s="41"/>
      <c r="K31" s="40">
        <f>ROUND(VLOOKUP($A31,'Contribution Allocation_Report'!$A$9:$D$314,4,FALSE)*$K$321,0)</f>
        <v>-135460</v>
      </c>
      <c r="L31" s="40">
        <f>ROUND(VLOOKUP($A31,'Contribution Allocation_Report'!$A$9:$D$314,4,FALSE)*$L$321,0)</f>
        <v>-91327</v>
      </c>
      <c r="M31" s="40">
        <f>ROUND(VLOOKUP($A31,'Contribution Allocation_Report'!$A$9:$D$314,4,FALSE)*$M$321,0)</f>
        <v>-29293</v>
      </c>
      <c r="N31" s="40">
        <f>ROUND(VLOOKUP($A31,'Contribution Allocation_Report'!$A$9:$D$314,4,FALSE)*$N$321,0)</f>
        <v>1206</v>
      </c>
      <c r="O31" s="40">
        <f>ROUND(VLOOKUP($A31,'Contribution Allocation_Report'!$A$9:$D$314,4,FALSE)*$O$321,0)</f>
        <v>-3255</v>
      </c>
      <c r="Q31" s="40">
        <f>+VLOOKUP(A31,'Change in Proportion Layers'!$AK$8:$AP$318,2,FALSE)+K31</f>
        <v>-209886</v>
      </c>
      <c r="R31" s="40">
        <f>+VLOOKUP(A31,'Change in Proportion Layers'!$AK$8:$AP$318,3,FALSE)+L31</f>
        <v>-150043</v>
      </c>
      <c r="S31" s="40">
        <f>+VLOOKUP(A31,'Change in Proportion Layers'!$AK$8:$AP$318,4,FALSE)+M31</f>
        <v>-72290</v>
      </c>
      <c r="T31" s="40">
        <f>+VLOOKUP(A31,'Change in Proportion Layers'!$AK$8:$AP$318,5,FALSE)+N31</f>
        <v>-46002</v>
      </c>
      <c r="U31" s="40">
        <f>+VLOOKUP(A31,'Change in Proportion Layers'!$AK$8:$AP$318,6,FALSE)+O31</f>
        <v>-18782</v>
      </c>
      <c r="W31" s="40">
        <f>('OPEB Amounts_Report'!G31-'OPEB Amounts_Report'!M31)</f>
        <v>-497003</v>
      </c>
      <c r="X31" s="109">
        <f t="shared" si="5"/>
        <v>0</v>
      </c>
    </row>
    <row r="32" spans="1:24">
      <c r="A32" s="22">
        <v>20316</v>
      </c>
      <c r="B32" s="23" t="s">
        <v>21</v>
      </c>
      <c r="C32" s="37">
        <f t="shared" si="0"/>
        <v>-67668</v>
      </c>
      <c r="D32" s="37">
        <f t="shared" si="1"/>
        <v>-49468</v>
      </c>
      <c r="E32" s="37">
        <f t="shared" si="2"/>
        <v>-23634</v>
      </c>
      <c r="F32" s="37">
        <f t="shared" si="3"/>
        <v>-5065</v>
      </c>
      <c r="G32" s="37">
        <f t="shared" si="4"/>
        <v>-4288</v>
      </c>
      <c r="I32" s="41"/>
      <c r="K32" s="40">
        <f>ROUND(VLOOKUP($A32,'Contribution Allocation_Report'!$A$9:$D$314,4,FALSE)*$K$321,0)</f>
        <v>-106072</v>
      </c>
      <c r="L32" s="40">
        <f>ROUND(VLOOKUP($A32,'Contribution Allocation_Report'!$A$9:$D$314,4,FALSE)*$L$321,0)</f>
        <v>-71514</v>
      </c>
      <c r="M32" s="40">
        <f>ROUND(VLOOKUP($A32,'Contribution Allocation_Report'!$A$9:$D$314,4,FALSE)*$M$321,0)</f>
        <v>-22938</v>
      </c>
      <c r="N32" s="40">
        <f>ROUND(VLOOKUP($A32,'Contribution Allocation_Report'!$A$9:$D$314,4,FALSE)*$N$321,0)</f>
        <v>944</v>
      </c>
      <c r="O32" s="40">
        <f>ROUND(VLOOKUP($A32,'Contribution Allocation_Report'!$A$9:$D$314,4,FALSE)*$O$321,0)</f>
        <v>-2549</v>
      </c>
      <c r="Q32" s="40">
        <f>+VLOOKUP(A32,'Change in Proportion Layers'!$AK$8:$AP$318,2,FALSE)+K32</f>
        <v>-67668</v>
      </c>
      <c r="R32" s="40">
        <f>+VLOOKUP(A32,'Change in Proportion Layers'!$AK$8:$AP$318,3,FALSE)+L32</f>
        <v>-49468</v>
      </c>
      <c r="S32" s="40">
        <f>+VLOOKUP(A32,'Change in Proportion Layers'!$AK$8:$AP$318,4,FALSE)+M32</f>
        <v>-23634</v>
      </c>
      <c r="T32" s="40">
        <f>+VLOOKUP(A32,'Change in Proportion Layers'!$AK$8:$AP$318,5,FALSE)+N32</f>
        <v>-5065</v>
      </c>
      <c r="U32" s="40">
        <f>+VLOOKUP(A32,'Change in Proportion Layers'!$AK$8:$AP$318,6,FALSE)+O32+2</f>
        <v>-4288</v>
      </c>
      <c r="W32" s="40">
        <f>('OPEB Amounts_Report'!G32-'OPEB Amounts_Report'!M32)</f>
        <v>-150123</v>
      </c>
      <c r="X32" s="109">
        <f t="shared" si="5"/>
        <v>0</v>
      </c>
    </row>
    <row r="33" spans="1:24">
      <c r="A33" s="24">
        <v>23121</v>
      </c>
      <c r="B33" s="3" t="s">
        <v>22</v>
      </c>
      <c r="C33" s="38">
        <f t="shared" si="0"/>
        <v>-120113</v>
      </c>
      <c r="D33" s="38">
        <f t="shared" si="1"/>
        <v>-59297</v>
      </c>
      <c r="E33" s="38">
        <f t="shared" si="2"/>
        <v>-14547</v>
      </c>
      <c r="F33" s="38">
        <f t="shared" si="3"/>
        <v>14068</v>
      </c>
      <c r="G33" s="38">
        <f t="shared" si="4"/>
        <v>884</v>
      </c>
      <c r="I33" s="41"/>
      <c r="K33" s="40">
        <f>ROUND(VLOOKUP($A33,'Contribution Allocation_Report'!$A$9:$D$314,4,FALSE)*$K$321,0)</f>
        <v>-136567</v>
      </c>
      <c r="L33" s="40">
        <f>ROUND(VLOOKUP($A33,'Contribution Allocation_Report'!$A$9:$D$314,4,FALSE)*$L$321,0)</f>
        <v>-92074</v>
      </c>
      <c r="M33" s="40">
        <f>ROUND(VLOOKUP($A33,'Contribution Allocation_Report'!$A$9:$D$314,4,FALSE)*$M$321,0)</f>
        <v>-29533</v>
      </c>
      <c r="N33" s="40">
        <f>ROUND(VLOOKUP($A33,'Contribution Allocation_Report'!$A$9:$D$314,4,FALSE)*$N$321,0)</f>
        <v>1216</v>
      </c>
      <c r="O33" s="40">
        <f>ROUND(VLOOKUP($A33,'Contribution Allocation_Report'!$A$9:$D$314,4,FALSE)*$O$321,0)</f>
        <v>-3281</v>
      </c>
      <c r="Q33" s="40">
        <f>+VLOOKUP(A33,'Change in Proportion Layers'!$AK$8:$AP$318,2,FALSE)+K33</f>
        <v>-120113</v>
      </c>
      <c r="R33" s="40">
        <f>+VLOOKUP(A33,'Change in Proportion Layers'!$AK$8:$AP$318,3,FALSE)+L33</f>
        <v>-59297</v>
      </c>
      <c r="S33" s="40">
        <f>+VLOOKUP(A33,'Change in Proportion Layers'!$AK$8:$AP$318,4,FALSE)+M33</f>
        <v>-14547</v>
      </c>
      <c r="T33" s="40">
        <f>+VLOOKUP(A33,'Change in Proportion Layers'!$AK$8:$AP$318,5,FALSE)+N33</f>
        <v>14068</v>
      </c>
      <c r="U33" s="40">
        <f>+VLOOKUP(A33,'Change in Proportion Layers'!$AK$8:$AP$318,6,FALSE)+O33</f>
        <v>884</v>
      </c>
      <c r="W33" s="40">
        <f>('OPEB Amounts_Report'!G33-'OPEB Amounts_Report'!M33)</f>
        <v>-179005</v>
      </c>
      <c r="X33" s="109">
        <f t="shared" si="5"/>
        <v>0</v>
      </c>
    </row>
    <row r="34" spans="1:24">
      <c r="A34" s="22">
        <v>3004</v>
      </c>
      <c r="B34" s="23" t="s">
        <v>23</v>
      </c>
      <c r="C34" s="37">
        <f t="shared" si="0"/>
        <v>-1974398</v>
      </c>
      <c r="D34" s="37">
        <f t="shared" si="1"/>
        <v>-1443570</v>
      </c>
      <c r="E34" s="37">
        <f t="shared" si="2"/>
        <v>-506547</v>
      </c>
      <c r="F34" s="37">
        <f t="shared" si="3"/>
        <v>-159145</v>
      </c>
      <c r="G34" s="37">
        <f t="shared" si="4"/>
        <v>-104110</v>
      </c>
      <c r="I34" s="41"/>
      <c r="K34" s="40">
        <f>ROUND(VLOOKUP($A34,'Contribution Allocation_Report'!$A$9:$D$314,4,FALSE)*$K$321,0)</f>
        <v>-1861482</v>
      </c>
      <c r="L34" s="40">
        <f>ROUND(VLOOKUP($A34,'Contribution Allocation_Report'!$A$9:$D$314,4,FALSE)*$L$321,0)</f>
        <v>-1255020</v>
      </c>
      <c r="M34" s="40">
        <f>ROUND(VLOOKUP($A34,'Contribution Allocation_Report'!$A$9:$D$314,4,FALSE)*$M$321,0)</f>
        <v>-402548</v>
      </c>
      <c r="N34" s="40">
        <f>ROUND(VLOOKUP($A34,'Contribution Allocation_Report'!$A$9:$D$314,4,FALSE)*$N$321,0)</f>
        <v>16571</v>
      </c>
      <c r="O34" s="40">
        <f>ROUND(VLOOKUP($A34,'Contribution Allocation_Report'!$A$9:$D$314,4,FALSE)*$O$321,0)</f>
        <v>-44725</v>
      </c>
      <c r="Q34" s="40">
        <f>+VLOOKUP(A34,'Change in Proportion Layers'!$AK$8:$AP$318,2,FALSE)+K34</f>
        <v>-1974398</v>
      </c>
      <c r="R34" s="40">
        <f>+VLOOKUP(A34,'Change in Proportion Layers'!$AK$8:$AP$318,3,FALSE)+L34</f>
        <v>-1443570</v>
      </c>
      <c r="S34" s="40">
        <f>+VLOOKUP(A34,'Change in Proportion Layers'!$AK$8:$AP$318,4,FALSE)+M34</f>
        <v>-506547</v>
      </c>
      <c r="T34" s="40">
        <f>+VLOOKUP(A34,'Change in Proportion Layers'!$AK$8:$AP$318,5,FALSE)+N34</f>
        <v>-159145</v>
      </c>
      <c r="U34" s="40">
        <f>+VLOOKUP(A34,'Change in Proportion Layers'!$AK$8:$AP$318,6,FALSE)+O34</f>
        <v>-104110</v>
      </c>
      <c r="W34" s="40">
        <f>('OPEB Amounts_Report'!G34-'OPEB Amounts_Report'!M34)</f>
        <v>-4187770</v>
      </c>
      <c r="X34" s="109">
        <f t="shared" si="5"/>
        <v>0</v>
      </c>
    </row>
    <row r="35" spans="1:24">
      <c r="A35" s="24">
        <v>16050</v>
      </c>
      <c r="B35" s="3" t="s">
        <v>24</v>
      </c>
      <c r="C35" s="38">
        <f t="shared" si="0"/>
        <v>-1368593</v>
      </c>
      <c r="D35" s="38">
        <f t="shared" si="1"/>
        <v>-1021485</v>
      </c>
      <c r="E35" s="38">
        <f t="shared" si="2"/>
        <v>-412422</v>
      </c>
      <c r="F35" s="38">
        <f t="shared" si="3"/>
        <v>-144128</v>
      </c>
      <c r="G35" s="38">
        <f t="shared" si="4"/>
        <v>-65726</v>
      </c>
      <c r="I35" s="41"/>
      <c r="K35" s="40">
        <f>ROUND(VLOOKUP($A35,'Contribution Allocation_Report'!$A$9:$D$314,4,FALSE)*$K$321,0)</f>
        <v>-1223691</v>
      </c>
      <c r="L35" s="40">
        <f>ROUND(VLOOKUP($A35,'Contribution Allocation_Report'!$A$9:$D$314,4,FALSE)*$L$321,0)</f>
        <v>-825019</v>
      </c>
      <c r="M35" s="40">
        <f>ROUND(VLOOKUP($A35,'Contribution Allocation_Report'!$A$9:$D$314,4,FALSE)*$M$321,0)+1</f>
        <v>-264624</v>
      </c>
      <c r="N35" s="40">
        <f>ROUND(VLOOKUP($A35,'Contribution Allocation_Report'!$A$9:$D$314,4,FALSE)*$N$321,0)</f>
        <v>10893</v>
      </c>
      <c r="O35" s="40">
        <f>ROUND(VLOOKUP($A35,'Contribution Allocation_Report'!$A$9:$D$314,4,FALSE)*$O$321,0)</f>
        <v>-29401</v>
      </c>
      <c r="Q35" s="40">
        <f>+VLOOKUP(A35,'Change in Proportion Layers'!$AK$8:$AP$318,2,FALSE)+K35</f>
        <v>-1368593</v>
      </c>
      <c r="R35" s="40">
        <f>+VLOOKUP(A35,'Change in Proportion Layers'!$AK$8:$AP$318,3,FALSE)+L35</f>
        <v>-1021485</v>
      </c>
      <c r="S35" s="40">
        <f>+VLOOKUP(A35,'Change in Proportion Layers'!$AK$8:$AP$318,4,FALSE)+M35</f>
        <v>-412422</v>
      </c>
      <c r="T35" s="40">
        <f>+VLOOKUP(A35,'Change in Proportion Layers'!$AK$8:$AP$318,5,FALSE)+N35</f>
        <v>-144128</v>
      </c>
      <c r="U35" s="40">
        <f>+VLOOKUP(A35,'Change in Proportion Layers'!$AK$8:$AP$318,6,FALSE)+O35</f>
        <v>-65726</v>
      </c>
      <c r="W35" s="40">
        <f>('OPEB Amounts_Report'!G35-'OPEB Amounts_Report'!M35)</f>
        <v>-3012354</v>
      </c>
      <c r="X35" s="109">
        <f t="shared" si="5"/>
        <v>0</v>
      </c>
    </row>
    <row r="36" spans="1:24">
      <c r="A36" s="22">
        <v>14043</v>
      </c>
      <c r="B36" s="23" t="s">
        <v>25</v>
      </c>
      <c r="C36" s="37">
        <f t="shared" si="0"/>
        <v>-1936989</v>
      </c>
      <c r="D36" s="37">
        <f t="shared" si="1"/>
        <v>-1244478</v>
      </c>
      <c r="E36" s="37">
        <f t="shared" si="2"/>
        <v>-490539</v>
      </c>
      <c r="F36" s="37">
        <f t="shared" si="3"/>
        <v>-166438</v>
      </c>
      <c r="G36" s="37">
        <f t="shared" si="4"/>
        <v>-103786</v>
      </c>
      <c r="I36" s="41"/>
      <c r="K36" s="40">
        <f>ROUND(VLOOKUP($A36,'Contribution Allocation_Report'!$A$9:$D$314,4,FALSE)*$K$321,0)</f>
        <v>-1866581</v>
      </c>
      <c r="L36" s="40">
        <f>ROUND(VLOOKUP($A36,'Contribution Allocation_Report'!$A$9:$D$314,4,FALSE)*$L$321,0)</f>
        <v>-1258458</v>
      </c>
      <c r="M36" s="40">
        <f>ROUND(VLOOKUP($A36,'Contribution Allocation_Report'!$A$9:$D$314,4,FALSE)*$M$321,0)</f>
        <v>-403651</v>
      </c>
      <c r="N36" s="40">
        <f>ROUND(VLOOKUP($A36,'Contribution Allocation_Report'!$A$9:$D$314,4,FALSE)*$N$321,0)</f>
        <v>16616</v>
      </c>
      <c r="O36" s="40">
        <f>ROUND(VLOOKUP($A36,'Contribution Allocation_Report'!$A$9:$D$314,4,FALSE)*$O$321,0)</f>
        <v>-44847</v>
      </c>
      <c r="Q36" s="40">
        <f>+VLOOKUP(A36,'Change in Proportion Layers'!$AK$8:$AP$318,2,FALSE)+K36</f>
        <v>-1936989</v>
      </c>
      <c r="R36" s="40">
        <f>+VLOOKUP(A36,'Change in Proportion Layers'!$AK$8:$AP$318,3,FALSE)+L36</f>
        <v>-1244478</v>
      </c>
      <c r="S36" s="40">
        <f>+VLOOKUP(A36,'Change in Proportion Layers'!$AK$8:$AP$318,4,FALSE)+M36</f>
        <v>-490539</v>
      </c>
      <c r="T36" s="40">
        <f>+VLOOKUP(A36,'Change in Proportion Layers'!$AK$8:$AP$318,5,FALSE)+N36</f>
        <v>-166438</v>
      </c>
      <c r="U36" s="40">
        <f>+VLOOKUP(A36,'Change in Proportion Layers'!$AK$8:$AP$318,6,FALSE)+O36</f>
        <v>-103786</v>
      </c>
      <c r="W36" s="40">
        <f>('OPEB Amounts_Report'!G36-'OPEB Amounts_Report'!M36)</f>
        <v>-3942230</v>
      </c>
      <c r="X36" s="109">
        <f t="shared" si="5"/>
        <v>0</v>
      </c>
    </row>
    <row r="37" spans="1:24">
      <c r="A37" s="24" t="s">
        <v>506</v>
      </c>
      <c r="B37" s="3" t="s">
        <v>26</v>
      </c>
      <c r="C37" s="38">
        <f t="shared" si="0"/>
        <v>-11668557</v>
      </c>
      <c r="D37" s="38">
        <f t="shared" si="1"/>
        <v>-7773849</v>
      </c>
      <c r="E37" s="38">
        <f t="shared" si="2"/>
        <v>-1330026</v>
      </c>
      <c r="F37" s="38">
        <f t="shared" si="3"/>
        <v>1887513</v>
      </c>
      <c r="G37" s="38">
        <f t="shared" si="4"/>
        <v>479389</v>
      </c>
      <c r="I37" s="41"/>
      <c r="K37" s="40">
        <f>ROUND(VLOOKUP($A37,'Contribution Allocation_Report'!$A$9:$D$314,4,FALSE)*$K$321,0)</f>
        <v>-12676685</v>
      </c>
      <c r="L37" s="40">
        <f>ROUND(VLOOKUP($A37,'Contribution Allocation_Report'!$A$9:$D$314,4,FALSE)*$L$321,0)</f>
        <v>-8546684</v>
      </c>
      <c r="M37" s="40">
        <f>ROUND(VLOOKUP($A37,'Contribution Allocation_Report'!$A$9:$D$314,4,FALSE)*$M$321,0)+1</f>
        <v>-2741350</v>
      </c>
      <c r="N37" s="40">
        <f>ROUND(VLOOKUP($A37,'Contribution Allocation_Report'!$A$9:$D$314,4,FALSE)*$N$321,0)</f>
        <v>112849</v>
      </c>
      <c r="O37" s="40">
        <f>ROUND(VLOOKUP($A37,'Contribution Allocation_Report'!$A$9:$D$314,4,FALSE)*$O$321,0)</f>
        <v>-304577</v>
      </c>
      <c r="Q37" s="40">
        <f>+VLOOKUP(A37,'Change in Proportion Layers'!$AK$8:$AP$318,2,FALSE)+K37</f>
        <v>-11668557</v>
      </c>
      <c r="R37" s="40">
        <f>+VLOOKUP(A37,'Change in Proportion Layers'!$AK$8:$AP$318,3,FALSE)+L37</f>
        <v>-7773849</v>
      </c>
      <c r="S37" s="40">
        <f>+VLOOKUP(A37,'Change in Proportion Layers'!$AK$8:$AP$318,4,FALSE)+M37</f>
        <v>-1330026</v>
      </c>
      <c r="T37" s="40">
        <f>+VLOOKUP(A37,'Change in Proportion Layers'!$AK$8:$AP$318,5,FALSE)+N37</f>
        <v>1887513</v>
      </c>
      <c r="U37" s="40">
        <f>+VLOOKUP(A37,'Change in Proportion Layers'!$AK$8:$AP$318,6,FALSE)+O37</f>
        <v>479389</v>
      </c>
      <c r="W37" s="40">
        <f>('OPEB Amounts_Report'!G37-'OPEB Amounts_Report'!M37)</f>
        <v>-18405530</v>
      </c>
      <c r="X37" s="109">
        <f t="shared" si="5"/>
        <v>0</v>
      </c>
    </row>
    <row r="38" spans="1:24">
      <c r="A38" s="22">
        <v>29086</v>
      </c>
      <c r="B38" s="23" t="s">
        <v>27</v>
      </c>
      <c r="C38" s="37">
        <f t="shared" si="0"/>
        <v>-1701693</v>
      </c>
      <c r="D38" s="37">
        <f t="shared" si="1"/>
        <v>-885855</v>
      </c>
      <c r="E38" s="37">
        <f t="shared" si="2"/>
        <v>-31135</v>
      </c>
      <c r="F38" s="37">
        <f t="shared" si="3"/>
        <v>-237258</v>
      </c>
      <c r="G38" s="37">
        <f t="shared" si="4"/>
        <v>-208583</v>
      </c>
      <c r="I38" s="41"/>
      <c r="K38" s="40">
        <f>ROUND(VLOOKUP($A38,'Contribution Allocation_Report'!$A$9:$D$314,4,FALSE)*$K$321,0)</f>
        <v>-2012513</v>
      </c>
      <c r="L38" s="40">
        <f>ROUND(VLOOKUP($A38,'Contribution Allocation_Report'!$A$9:$D$314,4,FALSE)*$L$321,0)</f>
        <v>-1356846</v>
      </c>
      <c r="M38" s="40">
        <f>ROUND(VLOOKUP($A38,'Contribution Allocation_Report'!$A$9:$D$314,4,FALSE)*$M$321,0)</f>
        <v>-435209</v>
      </c>
      <c r="N38" s="40">
        <f>ROUND(VLOOKUP($A38,'Contribution Allocation_Report'!$A$9:$D$314,4,FALSE)*$N$321,0)</f>
        <v>17916</v>
      </c>
      <c r="O38" s="40">
        <f>ROUND(VLOOKUP($A38,'Contribution Allocation_Report'!$A$9:$D$314,4,FALSE)*$O$321,0)</f>
        <v>-48354</v>
      </c>
      <c r="Q38" s="40">
        <f>+VLOOKUP(A38,'Change in Proportion Layers'!$AK$8:$AP$318,2,FALSE)+K38</f>
        <v>-1701693</v>
      </c>
      <c r="R38" s="40">
        <f>+VLOOKUP(A38,'Change in Proportion Layers'!$AK$8:$AP$318,3,FALSE)+L38</f>
        <v>-885855</v>
      </c>
      <c r="S38" s="40">
        <f>+VLOOKUP(A38,'Change in Proportion Layers'!$AK$8:$AP$318,4,FALSE)+M38</f>
        <v>-31135</v>
      </c>
      <c r="T38" s="40">
        <f>+VLOOKUP(A38,'Change in Proportion Layers'!$AK$8:$AP$318,5,FALSE)+N38</f>
        <v>-237258</v>
      </c>
      <c r="U38" s="40">
        <f>+VLOOKUP(A38,'Change in Proportion Layers'!$AK$8:$AP$318,6,FALSE)+O38</f>
        <v>-208583</v>
      </c>
      <c r="W38" s="40">
        <f>('OPEB Amounts_Report'!G38-'OPEB Amounts_Report'!M38)</f>
        <v>-3064524</v>
      </c>
      <c r="X38" s="109">
        <f t="shared" si="5"/>
        <v>0</v>
      </c>
    </row>
    <row r="39" spans="1:24">
      <c r="A39" s="24">
        <v>16051</v>
      </c>
      <c r="B39" s="3" t="s">
        <v>28</v>
      </c>
      <c r="C39" s="38">
        <f t="shared" si="0"/>
        <v>-1560348</v>
      </c>
      <c r="D39" s="38">
        <f t="shared" si="1"/>
        <v>-1078863</v>
      </c>
      <c r="E39" s="38">
        <f t="shared" si="2"/>
        <v>-342325</v>
      </c>
      <c r="F39" s="38">
        <f t="shared" si="3"/>
        <v>-113313</v>
      </c>
      <c r="G39" s="38">
        <f t="shared" si="4"/>
        <v>-88704</v>
      </c>
      <c r="I39" s="41"/>
      <c r="K39" s="40">
        <f>ROUND(VLOOKUP($A39,'Contribution Allocation_Report'!$A$9:$D$314,4,FALSE)*$K$321,0)</f>
        <v>-1459815</v>
      </c>
      <c r="L39" s="40">
        <f>ROUND(VLOOKUP($A39,'Contribution Allocation_Report'!$A$9:$D$314,4,FALSE)*$L$321,0)</f>
        <v>-984214</v>
      </c>
      <c r="M39" s="40">
        <f>ROUND(VLOOKUP($A39,'Contribution Allocation_Report'!$A$9:$D$314,4,FALSE)*$M$321,0)</f>
        <v>-315687</v>
      </c>
      <c r="N39" s="40">
        <f>ROUND(VLOOKUP($A39,'Contribution Allocation_Report'!$A$9:$D$314,4,FALSE)*$N$321,0)</f>
        <v>12995</v>
      </c>
      <c r="O39" s="40">
        <f>ROUND(VLOOKUP($A39,'Contribution Allocation_Report'!$A$9:$D$314,4,FALSE)*$O$321,0)</f>
        <v>-35074</v>
      </c>
      <c r="Q39" s="40">
        <f>+VLOOKUP(A39,'Change in Proportion Layers'!$AK$8:$AP$318,2,FALSE)+K39</f>
        <v>-1560348</v>
      </c>
      <c r="R39" s="40">
        <f>+VLOOKUP(A39,'Change in Proportion Layers'!$AK$8:$AP$318,3,FALSE)+L39</f>
        <v>-1078863</v>
      </c>
      <c r="S39" s="40">
        <f>+VLOOKUP(A39,'Change in Proportion Layers'!$AK$8:$AP$318,4,FALSE)+M39</f>
        <v>-342325</v>
      </c>
      <c r="T39" s="40">
        <f>+VLOOKUP(A39,'Change in Proportion Layers'!$AK$8:$AP$318,5,FALSE)+N39</f>
        <v>-113313</v>
      </c>
      <c r="U39" s="40">
        <f>+VLOOKUP(A39,'Change in Proportion Layers'!$AK$8:$AP$318,6,FALSE)+O39-1</f>
        <v>-88704</v>
      </c>
      <c r="W39" s="40">
        <f>('OPEB Amounts_Report'!G39-'OPEB Amounts_Report'!M39)</f>
        <v>-3183553</v>
      </c>
      <c r="X39" s="109">
        <f t="shared" si="5"/>
        <v>0</v>
      </c>
    </row>
    <row r="40" spans="1:24">
      <c r="A40" s="22">
        <v>26077</v>
      </c>
      <c r="B40" s="23" t="s">
        <v>29</v>
      </c>
      <c r="C40" s="37">
        <f t="shared" si="0"/>
        <v>-290135</v>
      </c>
      <c r="D40" s="37">
        <f t="shared" si="1"/>
        <v>-177840</v>
      </c>
      <c r="E40" s="37">
        <f t="shared" si="2"/>
        <v>-47120</v>
      </c>
      <c r="F40" s="37">
        <f t="shared" si="3"/>
        <v>15150</v>
      </c>
      <c r="G40" s="37">
        <f t="shared" si="4"/>
        <v>-7738</v>
      </c>
      <c r="I40" s="41"/>
      <c r="K40" s="40">
        <f>ROUND(VLOOKUP($A40,'Contribution Allocation_Report'!$A$9:$D$314,4,FALSE)*$K$321,0)</f>
        <v>-309798</v>
      </c>
      <c r="L40" s="40">
        <f>ROUND(VLOOKUP($A40,'Contribution Allocation_Report'!$A$9:$D$314,4,FALSE)*$L$321,0)</f>
        <v>-208868</v>
      </c>
      <c r="M40" s="40">
        <f>ROUND(VLOOKUP($A40,'Contribution Allocation_Report'!$A$9:$D$314,4,FALSE)*$M$321,0)</f>
        <v>-66994</v>
      </c>
      <c r="N40" s="40">
        <f>ROUND(VLOOKUP($A40,'Contribution Allocation_Report'!$A$9:$D$314,4,FALSE)*$N$321,0)</f>
        <v>2758</v>
      </c>
      <c r="O40" s="40">
        <f>ROUND(VLOOKUP($A40,'Contribution Allocation_Report'!$A$9:$D$314,4,FALSE)*$O$321,0)</f>
        <v>-7443</v>
      </c>
      <c r="Q40" s="40">
        <f>+VLOOKUP(A40,'Change in Proportion Layers'!$AK$8:$AP$318,2,FALSE)+K40</f>
        <v>-290135</v>
      </c>
      <c r="R40" s="40">
        <f>+VLOOKUP(A40,'Change in Proportion Layers'!$AK$8:$AP$318,3,FALSE)+L40</f>
        <v>-177840</v>
      </c>
      <c r="S40" s="40">
        <f>+VLOOKUP(A40,'Change in Proportion Layers'!$AK$8:$AP$318,4,FALSE)+M40</f>
        <v>-47120</v>
      </c>
      <c r="T40" s="40">
        <f>+VLOOKUP(A40,'Change in Proportion Layers'!$AK$8:$AP$318,5,FALSE)+N40</f>
        <v>15150</v>
      </c>
      <c r="U40" s="40">
        <f>+VLOOKUP(A40,'Change in Proportion Layers'!$AK$8:$AP$318,6,FALSE)+O40-1</f>
        <v>-7738</v>
      </c>
      <c r="W40" s="40">
        <f>('OPEB Amounts_Report'!G40-'OPEB Amounts_Report'!M40)</f>
        <v>-507683</v>
      </c>
      <c r="X40" s="109">
        <f t="shared" si="5"/>
        <v>0</v>
      </c>
    </row>
    <row r="41" spans="1:24">
      <c r="A41" s="24">
        <v>3005</v>
      </c>
      <c r="B41" s="3" t="s">
        <v>30</v>
      </c>
      <c r="C41" s="38">
        <f t="shared" si="0"/>
        <v>-3265105</v>
      </c>
      <c r="D41" s="38">
        <f t="shared" si="1"/>
        <v>-1966129</v>
      </c>
      <c r="E41" s="38">
        <f t="shared" si="2"/>
        <v>-504435</v>
      </c>
      <c r="F41" s="38">
        <f t="shared" si="3"/>
        <v>-89804</v>
      </c>
      <c r="G41" s="38">
        <f t="shared" si="4"/>
        <v>-340852</v>
      </c>
      <c r="I41" s="41"/>
      <c r="K41" s="40">
        <f>ROUND(VLOOKUP($A41,'Contribution Allocation_Report'!$A$9:$D$314,4,FALSE)*$K$321,0)</f>
        <v>-3615278</v>
      </c>
      <c r="L41" s="40">
        <f>ROUND(VLOOKUP($A41,'Contribution Allocation_Report'!$A$9:$D$314,4,FALSE)*$L$321,0)</f>
        <v>-2437438</v>
      </c>
      <c r="M41" s="40">
        <f>ROUND(VLOOKUP($A41,'Contribution Allocation_Report'!$A$9:$D$314,4,FALSE)*$M$321,0)</f>
        <v>-781809</v>
      </c>
      <c r="N41" s="40">
        <f>ROUND(VLOOKUP($A41,'Contribution Allocation_Report'!$A$9:$D$314,4,FALSE)*$N$321,0)</f>
        <v>32184</v>
      </c>
      <c r="O41" s="40">
        <f>ROUND(VLOOKUP($A41,'Contribution Allocation_Report'!$A$9:$D$314,4,FALSE)*$O$321,0)</f>
        <v>-86863</v>
      </c>
      <c r="Q41" s="40">
        <f>+VLOOKUP(A41,'Change in Proportion Layers'!$AK$8:$AP$318,2,FALSE)+K41</f>
        <v>-3265105</v>
      </c>
      <c r="R41" s="40">
        <f>+VLOOKUP(A41,'Change in Proportion Layers'!$AK$8:$AP$318,3,FALSE)+L41</f>
        <v>-1966129</v>
      </c>
      <c r="S41" s="40">
        <f>+VLOOKUP(A41,'Change in Proportion Layers'!$AK$8:$AP$318,4,FALSE)+M41</f>
        <v>-504435</v>
      </c>
      <c r="T41" s="40">
        <f>+VLOOKUP(A41,'Change in Proportion Layers'!$AK$8:$AP$318,5,FALSE)+N41</f>
        <v>-89804</v>
      </c>
      <c r="U41" s="40">
        <f>+VLOOKUP(A41,'Change in Proportion Layers'!$AK$8:$AP$318,6,FALSE)+O41</f>
        <v>-340852</v>
      </c>
      <c r="W41" s="40">
        <f>('OPEB Amounts_Report'!G41-'OPEB Amounts_Report'!M41)</f>
        <v>-6166325</v>
      </c>
      <c r="X41" s="109">
        <f t="shared" si="5"/>
        <v>0</v>
      </c>
    </row>
    <row r="42" spans="1:24">
      <c r="A42" s="22">
        <v>26078</v>
      </c>
      <c r="B42" s="23" t="s">
        <v>31</v>
      </c>
      <c r="C42" s="37">
        <f t="shared" si="0"/>
        <v>-136923</v>
      </c>
      <c r="D42" s="37">
        <f t="shared" si="1"/>
        <v>-86122</v>
      </c>
      <c r="E42" s="37">
        <f t="shared" si="2"/>
        <v>-23615</v>
      </c>
      <c r="F42" s="37">
        <f t="shared" si="3"/>
        <v>-10313</v>
      </c>
      <c r="G42" s="37">
        <f t="shared" si="4"/>
        <v>-6840</v>
      </c>
      <c r="I42" s="41"/>
      <c r="K42" s="40">
        <f>ROUND(VLOOKUP($A42,'Contribution Allocation_Report'!$A$9:$D$314,4,FALSE)*$K$321,0)</f>
        <v>-120722</v>
      </c>
      <c r="L42" s="40">
        <f>ROUND(VLOOKUP($A42,'Contribution Allocation_Report'!$A$9:$D$314,4,FALSE)*$L$321,0)</f>
        <v>-81392</v>
      </c>
      <c r="M42" s="40">
        <f>ROUND(VLOOKUP($A42,'Contribution Allocation_Report'!$A$9:$D$314,4,FALSE)*$M$321,0)+1</f>
        <v>-26105</v>
      </c>
      <c r="N42" s="40">
        <f>ROUND(VLOOKUP($A42,'Contribution Allocation_Report'!$A$9:$D$314,4,FALSE)*$N$321,0)</f>
        <v>1075</v>
      </c>
      <c r="O42" s="40">
        <f>ROUND(VLOOKUP($A42,'Contribution Allocation_Report'!$A$9:$D$314,4,FALSE)*$O$321,0)</f>
        <v>-2901</v>
      </c>
      <c r="Q42" s="40">
        <f>+VLOOKUP(A42,'Change in Proportion Layers'!$AK$8:$AP$318,2,FALSE)+K42</f>
        <v>-136923</v>
      </c>
      <c r="R42" s="40">
        <f>+VLOOKUP(A42,'Change in Proportion Layers'!$AK$8:$AP$318,3,FALSE)+L42</f>
        <v>-86122</v>
      </c>
      <c r="S42" s="40">
        <f>+VLOOKUP(A42,'Change in Proportion Layers'!$AK$8:$AP$318,4,FALSE)+M42</f>
        <v>-23615</v>
      </c>
      <c r="T42" s="40">
        <f>+VLOOKUP(A42,'Change in Proportion Layers'!$AK$8:$AP$318,5,FALSE)+N42</f>
        <v>-10313</v>
      </c>
      <c r="U42" s="40">
        <f>+VLOOKUP(A42,'Change in Proportion Layers'!$AK$8:$AP$318,6,FALSE)+O42</f>
        <v>-6840</v>
      </c>
      <c r="W42" s="40">
        <f>('OPEB Amounts_Report'!G42-'OPEB Amounts_Report'!M42)</f>
        <v>-263813</v>
      </c>
      <c r="X42" s="109">
        <f t="shared" si="5"/>
        <v>0</v>
      </c>
    </row>
    <row r="43" spans="1:24">
      <c r="A43" s="24">
        <v>16053</v>
      </c>
      <c r="B43" s="3" t="s">
        <v>32</v>
      </c>
      <c r="C43" s="38">
        <f t="shared" si="0"/>
        <v>-3399480</v>
      </c>
      <c r="D43" s="38">
        <f t="shared" si="1"/>
        <v>-2550136</v>
      </c>
      <c r="E43" s="38">
        <f t="shared" si="2"/>
        <v>-897955</v>
      </c>
      <c r="F43" s="38">
        <f t="shared" si="3"/>
        <v>-668079</v>
      </c>
      <c r="G43" s="38">
        <f t="shared" si="4"/>
        <v>-306315</v>
      </c>
      <c r="I43" s="41"/>
      <c r="K43" s="40">
        <f>ROUND(VLOOKUP($A43,'Contribution Allocation_Report'!$A$9:$D$314,4,FALSE)*$K$321,0)</f>
        <v>-3545729</v>
      </c>
      <c r="L43" s="40">
        <f>ROUND(VLOOKUP($A43,'Contribution Allocation_Report'!$A$9:$D$314,4,FALSE)*$L$321,0)</f>
        <v>-2390548</v>
      </c>
      <c r="M43" s="40">
        <f>ROUND(VLOOKUP($A43,'Contribution Allocation_Report'!$A$9:$D$314,4,FALSE)*$M$321,0)</f>
        <v>-766769</v>
      </c>
      <c r="N43" s="40">
        <f>ROUND(VLOOKUP($A43,'Contribution Allocation_Report'!$A$9:$D$314,4,FALSE)*$N$321,0)</f>
        <v>31564</v>
      </c>
      <c r="O43" s="40">
        <f>ROUND(VLOOKUP($A43,'Contribution Allocation_Report'!$A$9:$D$314,4,FALSE)*$O$321,0)</f>
        <v>-85192</v>
      </c>
      <c r="Q43" s="40">
        <f>+VLOOKUP(A43,'Change in Proportion Layers'!$AK$8:$AP$318,2,FALSE)+K43</f>
        <v>-3399480</v>
      </c>
      <c r="R43" s="40">
        <f>+VLOOKUP(A43,'Change in Proportion Layers'!$AK$8:$AP$318,3,FALSE)+L43</f>
        <v>-2550136</v>
      </c>
      <c r="S43" s="40">
        <f>+VLOOKUP(A43,'Change in Proportion Layers'!$AK$8:$AP$318,4,FALSE)+M43</f>
        <v>-897955</v>
      </c>
      <c r="T43" s="40">
        <f>+VLOOKUP(A43,'Change in Proportion Layers'!$AK$8:$AP$318,5,FALSE)+N43</f>
        <v>-668079</v>
      </c>
      <c r="U43" s="40">
        <f>+VLOOKUP(A43,'Change in Proportion Layers'!$AK$8:$AP$318,6,FALSE)+O43</f>
        <v>-306315</v>
      </c>
      <c r="W43" s="40">
        <f>('OPEB Amounts_Report'!G43-'OPEB Amounts_Report'!M43)</f>
        <v>-7821965</v>
      </c>
      <c r="X43" s="109">
        <f t="shared" si="5"/>
        <v>0</v>
      </c>
    </row>
    <row r="44" spans="1:24">
      <c r="A44" s="22">
        <v>2123</v>
      </c>
      <c r="B44" s="23" t="s">
        <v>33</v>
      </c>
      <c r="C44" s="37">
        <f t="shared" si="0"/>
        <v>-7231772</v>
      </c>
      <c r="D44" s="37">
        <f t="shared" si="1"/>
        <v>-4960483</v>
      </c>
      <c r="E44" s="37">
        <f t="shared" si="2"/>
        <v>-2355472</v>
      </c>
      <c r="F44" s="37">
        <f t="shared" si="3"/>
        <v>599670</v>
      </c>
      <c r="G44" s="37">
        <f t="shared" si="4"/>
        <v>-141934</v>
      </c>
      <c r="I44" s="41"/>
      <c r="K44" s="40">
        <f>ROUND(VLOOKUP($A44,'Contribution Allocation_Report'!$A$9:$D$314,4,FALSE)*$K$321,0)</f>
        <v>-6428748</v>
      </c>
      <c r="L44" s="40">
        <f>ROUND(VLOOKUP($A44,'Contribution Allocation_Report'!$A$9:$D$314,4,FALSE)*$L$321,0)</f>
        <v>-4334294</v>
      </c>
      <c r="M44" s="40">
        <f>ROUND(VLOOKUP($A44,'Contribution Allocation_Report'!$A$9:$D$314,4,FALSE)*$M$321,0)</f>
        <v>-1390226</v>
      </c>
      <c r="N44" s="40">
        <f>ROUND(VLOOKUP($A44,'Contribution Allocation_Report'!$A$9:$D$314,4,FALSE)*$N$321,0)</f>
        <v>57229</v>
      </c>
      <c r="O44" s="40">
        <f>ROUND(VLOOKUP($A44,'Contribution Allocation_Report'!$A$9:$D$314,4,FALSE)*$O$321,0)</f>
        <v>-154460</v>
      </c>
      <c r="Q44" s="40">
        <f>+VLOOKUP(A44,'Change in Proportion Layers'!$AK$8:$AP$318,2,FALSE)+K44</f>
        <v>-7231772</v>
      </c>
      <c r="R44" s="40">
        <f>+VLOOKUP(A44,'Change in Proportion Layers'!$AK$8:$AP$318,3,FALSE)+L44</f>
        <v>-4960483</v>
      </c>
      <c r="S44" s="40">
        <f>+VLOOKUP(A44,'Change in Proportion Layers'!$AK$8:$AP$318,4,FALSE)+M44</f>
        <v>-2355472</v>
      </c>
      <c r="T44" s="40">
        <f>+VLOOKUP(A44,'Change in Proportion Layers'!$AK$8:$AP$318,5,FALSE)+N44</f>
        <v>599670</v>
      </c>
      <c r="U44" s="40">
        <f>+VLOOKUP(A44,'Change in Proportion Layers'!$AK$8:$AP$318,6,FALSE)+O44</f>
        <v>-141934</v>
      </c>
      <c r="W44" s="40">
        <f>('OPEB Amounts_Report'!G44-'OPEB Amounts_Report'!M44)</f>
        <v>-14089991</v>
      </c>
      <c r="X44" s="109">
        <f t="shared" si="5"/>
        <v>0</v>
      </c>
    </row>
    <row r="45" spans="1:24">
      <c r="A45" s="24">
        <v>2150</v>
      </c>
      <c r="B45" s="3" t="s">
        <v>34</v>
      </c>
      <c r="C45" s="38">
        <f t="shared" si="0"/>
        <v>-49773</v>
      </c>
      <c r="D45" s="38">
        <f t="shared" si="1"/>
        <v>-43999</v>
      </c>
      <c r="E45" s="38">
        <f t="shared" si="2"/>
        <v>211311</v>
      </c>
      <c r="F45" s="38">
        <f t="shared" si="3"/>
        <v>186378</v>
      </c>
      <c r="G45" s="38">
        <f t="shared" si="4"/>
        <v>8339</v>
      </c>
      <c r="I45" s="41"/>
      <c r="K45" s="40">
        <f>ROUND(VLOOKUP($A45,'Contribution Allocation_Report'!$A$9:$D$314,4,FALSE)*$K$321,0)</f>
        <v>-565044</v>
      </c>
      <c r="L45" s="40">
        <f>ROUND(VLOOKUP($A45,'Contribution Allocation_Report'!$A$9:$D$314,4,FALSE)*$L$321,0)</f>
        <v>-380955</v>
      </c>
      <c r="M45" s="40">
        <f>ROUND(VLOOKUP($A45,'Contribution Allocation_Report'!$A$9:$D$314,4,FALSE)*$M$321,0)</f>
        <v>-122192</v>
      </c>
      <c r="N45" s="40">
        <f>ROUND(VLOOKUP($A45,'Contribution Allocation_Report'!$A$9:$D$314,4,FALSE)*$N$321,0)+1</f>
        <v>5031</v>
      </c>
      <c r="O45" s="40">
        <f>ROUND(VLOOKUP($A45,'Contribution Allocation_Report'!$A$9:$D$314,4,FALSE)*$O$321,0)</f>
        <v>-13576</v>
      </c>
      <c r="Q45" s="40">
        <f>+VLOOKUP(A45,'Change in Proportion Layers'!$AK$8:$AP$318,2,FALSE)+K45</f>
        <v>-49773</v>
      </c>
      <c r="R45" s="40">
        <f>+VLOOKUP(A45,'Change in Proportion Layers'!$AK$8:$AP$318,3,FALSE)+L45</f>
        <v>-43999</v>
      </c>
      <c r="S45" s="40">
        <f>+VLOOKUP(A45,'Change in Proportion Layers'!$AK$8:$AP$318,4,FALSE)+M45</f>
        <v>211311</v>
      </c>
      <c r="T45" s="40">
        <f>+VLOOKUP(A45,'Change in Proportion Layers'!$AK$8:$AP$318,5,FALSE)+N45</f>
        <v>186378</v>
      </c>
      <c r="U45" s="40">
        <f>+VLOOKUP(A45,'Change in Proportion Layers'!$AK$8:$AP$318,6,FALSE)+O45</f>
        <v>8339</v>
      </c>
      <c r="W45" s="40">
        <f>('OPEB Amounts_Report'!G45-'OPEB Amounts_Report'!M45)</f>
        <v>312256</v>
      </c>
      <c r="X45" s="109">
        <f t="shared" si="5"/>
        <v>0</v>
      </c>
    </row>
    <row r="46" spans="1:24">
      <c r="A46" s="22">
        <v>2336</v>
      </c>
      <c r="B46" s="23" t="s">
        <v>35</v>
      </c>
      <c r="C46" s="37">
        <f t="shared" si="0"/>
        <v>-106008</v>
      </c>
      <c r="D46" s="37">
        <f t="shared" si="1"/>
        <v>-59430</v>
      </c>
      <c r="E46" s="37">
        <f t="shared" si="2"/>
        <v>-10862</v>
      </c>
      <c r="F46" s="37">
        <f t="shared" si="3"/>
        <v>848</v>
      </c>
      <c r="G46" s="37">
        <f t="shared" si="4"/>
        <v>-1859</v>
      </c>
      <c r="I46" s="41"/>
      <c r="K46" s="40">
        <f>ROUND(VLOOKUP($A46,'Contribution Allocation_Report'!$A$9:$D$314,4,FALSE)*$K$321,0)</f>
        <v>-102471</v>
      </c>
      <c r="L46" s="40">
        <f>ROUND(VLOOKUP($A46,'Contribution Allocation_Report'!$A$9:$D$314,4,FALSE)*$L$321,0)</f>
        <v>-69086</v>
      </c>
      <c r="M46" s="40">
        <f>ROUND(VLOOKUP($A46,'Contribution Allocation_Report'!$A$9:$D$314,4,FALSE)*$M$321,0)</f>
        <v>-22159</v>
      </c>
      <c r="N46" s="40">
        <f>ROUND(VLOOKUP($A46,'Contribution Allocation_Report'!$A$9:$D$314,4,FALSE)*$N$321,0)</f>
        <v>912</v>
      </c>
      <c r="O46" s="40">
        <f>ROUND(VLOOKUP($A46,'Contribution Allocation_Report'!$A$9:$D$314,4,FALSE)*$O$321,0)</f>
        <v>-2462</v>
      </c>
      <c r="Q46" s="40">
        <f>+VLOOKUP(A46,'Change in Proportion Layers'!$AK$8:$AP$318,2,FALSE)+K46</f>
        <v>-106008</v>
      </c>
      <c r="R46" s="40">
        <f>+VLOOKUP(A46,'Change in Proportion Layers'!$AK$8:$AP$318,3,FALSE)+L46</f>
        <v>-59430</v>
      </c>
      <c r="S46" s="40">
        <f>+VLOOKUP(A46,'Change in Proportion Layers'!$AK$8:$AP$318,4,FALSE)+M46</f>
        <v>-10862</v>
      </c>
      <c r="T46" s="40">
        <f>+VLOOKUP(A46,'Change in Proportion Layers'!$AK$8:$AP$318,5,FALSE)+N46</f>
        <v>848</v>
      </c>
      <c r="U46" s="40">
        <f>+VLOOKUP(A46,'Change in Proportion Layers'!$AK$8:$AP$318,6,FALSE)+O46</f>
        <v>-1859</v>
      </c>
      <c r="W46" s="40">
        <f>('OPEB Amounts_Report'!G46-'OPEB Amounts_Report'!M46)</f>
        <v>-177311</v>
      </c>
      <c r="X46" s="109">
        <f t="shared" si="5"/>
        <v>0</v>
      </c>
    </row>
    <row r="47" spans="1:24">
      <c r="A47" s="24">
        <v>17126</v>
      </c>
      <c r="B47" s="3" t="s">
        <v>36</v>
      </c>
      <c r="C47" s="38">
        <f t="shared" si="0"/>
        <v>-296413</v>
      </c>
      <c r="D47" s="38">
        <f t="shared" si="1"/>
        <v>-177966</v>
      </c>
      <c r="E47" s="38">
        <f t="shared" si="2"/>
        <v>-56060</v>
      </c>
      <c r="F47" s="38">
        <f t="shared" si="3"/>
        <v>-19398</v>
      </c>
      <c r="G47" s="38">
        <f t="shared" si="4"/>
        <v>-6052</v>
      </c>
      <c r="I47" s="41"/>
      <c r="K47" s="40">
        <f>ROUND(VLOOKUP($A47,'Contribution Allocation_Report'!$A$9:$D$314,4,FALSE)*$K$321,0)</f>
        <v>-280093</v>
      </c>
      <c r="L47" s="40">
        <f>ROUND(VLOOKUP($A47,'Contribution Allocation_Report'!$A$9:$D$314,4,FALSE)*$L$321,0)</f>
        <v>-188840</v>
      </c>
      <c r="M47" s="40">
        <f>ROUND(VLOOKUP($A47,'Contribution Allocation_Report'!$A$9:$D$314,4,FALSE)*$M$321,0)</f>
        <v>-60570</v>
      </c>
      <c r="N47" s="40">
        <f>ROUND(VLOOKUP($A47,'Contribution Allocation_Report'!$A$9:$D$314,4,FALSE)*$N$321,0)+1</f>
        <v>2494</v>
      </c>
      <c r="O47" s="40">
        <f>ROUND(VLOOKUP($A47,'Contribution Allocation_Report'!$A$9:$D$314,4,FALSE)*$O$321,0)</f>
        <v>-6730</v>
      </c>
      <c r="Q47" s="40">
        <f>+VLOOKUP(A47,'Change in Proportion Layers'!$AK$8:$AP$318,2,FALSE)+K47</f>
        <v>-296413</v>
      </c>
      <c r="R47" s="40">
        <f>+VLOOKUP(A47,'Change in Proportion Layers'!$AK$8:$AP$318,3,FALSE)+L47</f>
        <v>-177966</v>
      </c>
      <c r="S47" s="40">
        <f>+VLOOKUP(A47,'Change in Proportion Layers'!$AK$8:$AP$318,4,FALSE)+M47</f>
        <v>-56060</v>
      </c>
      <c r="T47" s="40">
        <f>+VLOOKUP(A47,'Change in Proportion Layers'!$AK$8:$AP$318,5,FALSE)+N47</f>
        <v>-19398</v>
      </c>
      <c r="U47" s="40">
        <f>+VLOOKUP(A47,'Change in Proportion Layers'!$AK$8:$AP$318,6,FALSE)+O47</f>
        <v>-6052</v>
      </c>
      <c r="W47" s="40">
        <f>('OPEB Amounts_Report'!G47-'OPEB Amounts_Report'!M47)</f>
        <v>-555889</v>
      </c>
      <c r="X47" s="109">
        <f t="shared" si="5"/>
        <v>0</v>
      </c>
    </row>
    <row r="48" spans="1:24">
      <c r="A48" s="22">
        <v>3030</v>
      </c>
      <c r="B48" s="23" t="s">
        <v>37</v>
      </c>
      <c r="C48" s="37">
        <f t="shared" si="0"/>
        <v>-1045090</v>
      </c>
      <c r="D48" s="37">
        <f t="shared" si="1"/>
        <v>-689532</v>
      </c>
      <c r="E48" s="37">
        <f t="shared" si="2"/>
        <v>-199342</v>
      </c>
      <c r="F48" s="37">
        <f t="shared" si="3"/>
        <v>63240</v>
      </c>
      <c r="G48" s="37">
        <f t="shared" si="4"/>
        <v>32111</v>
      </c>
      <c r="I48" s="41"/>
      <c r="K48" s="40">
        <f>ROUND(VLOOKUP($A48,'Contribution Allocation_Report'!$A$9:$D$314,4,FALSE)*$K$321,0)</f>
        <v>-776537</v>
      </c>
      <c r="L48" s="40">
        <f>ROUND(VLOOKUP($A48,'Contribution Allocation_Report'!$A$9:$D$314,4,FALSE)*$L$321,0)</f>
        <v>-523545</v>
      </c>
      <c r="M48" s="40">
        <f>ROUND(VLOOKUP($A48,'Contribution Allocation_Report'!$A$9:$D$314,4,FALSE)*$M$321,0)</f>
        <v>-167927</v>
      </c>
      <c r="N48" s="40">
        <f>ROUND(VLOOKUP($A48,'Contribution Allocation_Report'!$A$9:$D$314,4,FALSE)*$N$321,0)</f>
        <v>6913</v>
      </c>
      <c r="O48" s="40">
        <f>ROUND(VLOOKUP($A48,'Contribution Allocation_Report'!$A$9:$D$314,4,FALSE)*$O$321,0)</f>
        <v>-18657</v>
      </c>
      <c r="Q48" s="40">
        <f>+VLOOKUP(A48,'Change in Proportion Layers'!$AK$8:$AP$318,2,FALSE)+K48</f>
        <v>-1045090</v>
      </c>
      <c r="R48" s="40">
        <f>+VLOOKUP(A48,'Change in Proportion Layers'!$AK$8:$AP$318,3,FALSE)+L48</f>
        <v>-689532</v>
      </c>
      <c r="S48" s="40">
        <f>+VLOOKUP(A48,'Change in Proportion Layers'!$AK$8:$AP$318,4,FALSE)+M48</f>
        <v>-199342</v>
      </c>
      <c r="T48" s="40">
        <f>+VLOOKUP(A48,'Change in Proportion Layers'!$AK$8:$AP$318,5,FALSE)+N48</f>
        <v>63240</v>
      </c>
      <c r="U48" s="40">
        <f>+VLOOKUP(A48,'Change in Proportion Layers'!$AK$8:$AP$318,6,FALSE)+O48</f>
        <v>32111</v>
      </c>
      <c r="W48" s="40">
        <f>('OPEB Amounts_Report'!G48-'OPEB Amounts_Report'!M48)</f>
        <v>-1838613</v>
      </c>
      <c r="X48" s="109">
        <f t="shared" si="5"/>
        <v>0</v>
      </c>
    </row>
    <row r="49" spans="1:24">
      <c r="A49" s="24">
        <v>2353</v>
      </c>
      <c r="B49" s="3" t="s">
        <v>38</v>
      </c>
      <c r="C49" s="38">
        <f t="shared" si="0"/>
        <v>-143216</v>
      </c>
      <c r="D49" s="38">
        <f t="shared" si="1"/>
        <v>23023</v>
      </c>
      <c r="E49" s="38">
        <f t="shared" si="2"/>
        <v>37997</v>
      </c>
      <c r="F49" s="38">
        <f t="shared" si="3"/>
        <v>98405</v>
      </c>
      <c r="G49" s="38">
        <f t="shared" si="4"/>
        <v>22699</v>
      </c>
      <c r="I49" s="41"/>
      <c r="K49" s="40">
        <f>ROUND(VLOOKUP($A49,'Contribution Allocation_Report'!$A$9:$D$314,4,FALSE)*$K$321,0)</f>
        <v>-347336</v>
      </c>
      <c r="L49" s="40">
        <f>ROUND(VLOOKUP($A49,'Contribution Allocation_Report'!$A$9:$D$314,4,FALSE)*$L$321,0)</f>
        <v>-234176</v>
      </c>
      <c r="M49" s="40">
        <f>ROUND(VLOOKUP($A49,'Contribution Allocation_Report'!$A$9:$D$314,4,FALSE)*$M$321,0)</f>
        <v>-75112</v>
      </c>
      <c r="N49" s="40">
        <f>ROUND(VLOOKUP($A49,'Contribution Allocation_Report'!$A$9:$D$314,4,FALSE)*$N$321,0)</f>
        <v>3092</v>
      </c>
      <c r="O49" s="40">
        <f>ROUND(VLOOKUP($A49,'Contribution Allocation_Report'!$A$9:$D$314,4,FALSE)*$O$321,0)</f>
        <v>-8345</v>
      </c>
      <c r="Q49" s="40">
        <f>+VLOOKUP(A49,'Change in Proportion Layers'!$AK$8:$AP$318,2,FALSE)+K49</f>
        <v>-143216</v>
      </c>
      <c r="R49" s="40">
        <f>+VLOOKUP(A49,'Change in Proportion Layers'!$AK$8:$AP$318,3,FALSE)+L49</f>
        <v>23023</v>
      </c>
      <c r="S49" s="40">
        <f>+VLOOKUP(A49,'Change in Proportion Layers'!$AK$8:$AP$318,4,FALSE)+M49</f>
        <v>37997</v>
      </c>
      <c r="T49" s="40">
        <f>+VLOOKUP(A49,'Change in Proportion Layers'!$AK$8:$AP$318,5,FALSE)+N49</f>
        <v>98405</v>
      </c>
      <c r="U49" s="40">
        <f>+VLOOKUP(A49,'Change in Proportion Layers'!$AK$8:$AP$318,6,FALSE)+O49-1</f>
        <v>22699</v>
      </c>
      <c r="W49" s="40">
        <f>('OPEB Amounts_Report'!G49-'OPEB Amounts_Report'!M49)</f>
        <v>38908</v>
      </c>
      <c r="X49" s="109">
        <f t="shared" si="5"/>
        <v>0</v>
      </c>
    </row>
    <row r="50" spans="1:24">
      <c r="A50" s="22">
        <v>3040</v>
      </c>
      <c r="B50" s="23" t="s">
        <v>39</v>
      </c>
      <c r="C50" s="37">
        <f t="shared" si="0"/>
        <v>-306818</v>
      </c>
      <c r="D50" s="37">
        <f t="shared" si="1"/>
        <v>-179881</v>
      </c>
      <c r="E50" s="37">
        <f t="shared" si="2"/>
        <v>-29165</v>
      </c>
      <c r="F50" s="37">
        <f t="shared" si="3"/>
        <v>55845</v>
      </c>
      <c r="G50" s="37">
        <f t="shared" si="4"/>
        <v>659</v>
      </c>
      <c r="I50" s="41"/>
      <c r="K50" s="40">
        <f>ROUND(VLOOKUP($A50,'Contribution Allocation_Report'!$A$9:$D$314,4,FALSE)*$K$321,0)</f>
        <v>-344696</v>
      </c>
      <c r="L50" s="40">
        <f>ROUND(VLOOKUP($A50,'Contribution Allocation_Report'!$A$9:$D$314,4,FALSE)*$L$321,0)</f>
        <v>-232395</v>
      </c>
      <c r="M50" s="40">
        <f>ROUND(VLOOKUP($A50,'Contribution Allocation_Report'!$A$9:$D$314,4,FALSE)*$M$321,0)</f>
        <v>-74541</v>
      </c>
      <c r="N50" s="40">
        <f>ROUND(VLOOKUP($A50,'Contribution Allocation_Report'!$A$9:$D$314,4,FALSE)*$N$321,0)</f>
        <v>3069</v>
      </c>
      <c r="O50" s="40">
        <f>ROUND(VLOOKUP($A50,'Contribution Allocation_Report'!$A$9:$D$314,4,FALSE)*$O$321,0)</f>
        <v>-8282</v>
      </c>
      <c r="Q50" s="40">
        <f>+VLOOKUP(A50,'Change in Proportion Layers'!$AK$8:$AP$318,2,FALSE)+K50</f>
        <v>-306818</v>
      </c>
      <c r="R50" s="40">
        <f>+VLOOKUP(A50,'Change in Proportion Layers'!$AK$8:$AP$318,3,FALSE)+L50</f>
        <v>-179881</v>
      </c>
      <c r="S50" s="40">
        <f>+VLOOKUP(A50,'Change in Proportion Layers'!$AK$8:$AP$318,4,FALSE)+M50</f>
        <v>-29165</v>
      </c>
      <c r="T50" s="40">
        <f>+VLOOKUP(A50,'Change in Proportion Layers'!$AK$8:$AP$318,5,FALSE)+N50</f>
        <v>55845</v>
      </c>
      <c r="U50" s="40">
        <f>+VLOOKUP(A50,'Change in Proportion Layers'!$AK$8:$AP$318,6,FALSE)+O50</f>
        <v>659</v>
      </c>
      <c r="W50" s="40">
        <f>('OPEB Amounts_Report'!G50-'OPEB Amounts_Report'!M50)</f>
        <v>-459360</v>
      </c>
      <c r="X50" s="109">
        <f t="shared" si="5"/>
        <v>0</v>
      </c>
    </row>
    <row r="51" spans="1:24">
      <c r="A51" s="24">
        <v>2367</v>
      </c>
      <c r="B51" s="3" t="s">
        <v>40</v>
      </c>
      <c r="C51" s="38">
        <f t="shared" si="0"/>
        <v>-143645</v>
      </c>
      <c r="D51" s="38">
        <f t="shared" si="1"/>
        <v>-107139</v>
      </c>
      <c r="E51" s="38">
        <f t="shared" si="2"/>
        <v>-29987</v>
      </c>
      <c r="F51" s="38">
        <f t="shared" si="3"/>
        <v>-17698</v>
      </c>
      <c r="G51" s="38">
        <f t="shared" si="4"/>
        <v>-41912</v>
      </c>
      <c r="I51" s="41"/>
      <c r="K51" s="40">
        <f>ROUND(VLOOKUP($A51,'Contribution Allocation_Report'!$A$9:$D$314,4,FALSE)*$K$321,0)</f>
        <v>-227691</v>
      </c>
      <c r="L51" s="40">
        <f>ROUND(VLOOKUP($A51,'Contribution Allocation_Report'!$A$9:$D$314,4,FALSE)*$L$321,0)</f>
        <v>-153511</v>
      </c>
      <c r="M51" s="40">
        <f>ROUND(VLOOKUP($A51,'Contribution Allocation_Report'!$A$9:$D$314,4,FALSE)*$M$321,0)</f>
        <v>-49239</v>
      </c>
      <c r="N51" s="40">
        <f>ROUND(VLOOKUP($A51,'Contribution Allocation_Report'!$A$9:$D$314,4,FALSE)*$N$321,0)</f>
        <v>2027</v>
      </c>
      <c r="O51" s="40">
        <f>ROUND(VLOOKUP($A51,'Contribution Allocation_Report'!$A$9:$D$314,4,FALSE)*$O$321,0)</f>
        <v>-5471</v>
      </c>
      <c r="Q51" s="40">
        <f>+VLOOKUP(A51,'Change in Proportion Layers'!$AK$8:$AP$318,2,FALSE)+K51</f>
        <v>-143645</v>
      </c>
      <c r="R51" s="40">
        <f>+VLOOKUP(A51,'Change in Proportion Layers'!$AK$8:$AP$318,3,FALSE)+L51</f>
        <v>-107139</v>
      </c>
      <c r="S51" s="40">
        <f>+VLOOKUP(A51,'Change in Proportion Layers'!$AK$8:$AP$318,4,FALSE)+M51</f>
        <v>-29987</v>
      </c>
      <c r="T51" s="40">
        <f>+VLOOKUP(A51,'Change in Proportion Layers'!$AK$8:$AP$318,5,FALSE)+N51</f>
        <v>-17698</v>
      </c>
      <c r="U51" s="40">
        <f>+VLOOKUP(A51,'Change in Proportion Layers'!$AK$8:$AP$318,6,FALSE)+O51</f>
        <v>-41912</v>
      </c>
      <c r="W51" s="40">
        <f>('OPEB Amounts_Report'!G51-'OPEB Amounts_Report'!M51)</f>
        <v>-340381</v>
      </c>
      <c r="X51" s="109">
        <f t="shared" si="5"/>
        <v>0</v>
      </c>
    </row>
    <row r="52" spans="1:24">
      <c r="A52" s="22">
        <v>9027</v>
      </c>
      <c r="B52" s="23" t="s">
        <v>41</v>
      </c>
      <c r="C52" s="37">
        <f t="shared" si="0"/>
        <v>-221516</v>
      </c>
      <c r="D52" s="37">
        <f t="shared" si="1"/>
        <v>-224294</v>
      </c>
      <c r="E52" s="37">
        <f t="shared" si="2"/>
        <v>-111214</v>
      </c>
      <c r="F52" s="37">
        <f t="shared" si="3"/>
        <v>-49709</v>
      </c>
      <c r="G52" s="37">
        <f t="shared" si="4"/>
        <v>-25465</v>
      </c>
      <c r="I52" s="41"/>
      <c r="K52" s="40">
        <f>ROUND(VLOOKUP($A52,'Contribution Allocation_Report'!$A$9:$D$314,4,FALSE)*$K$321,0)</f>
        <v>-263582</v>
      </c>
      <c r="L52" s="40">
        <f>ROUND(VLOOKUP($A52,'Contribution Allocation_Report'!$A$9:$D$314,4,FALSE)*$L$321,0)</f>
        <v>-177708</v>
      </c>
      <c r="M52" s="40">
        <f>ROUND(VLOOKUP($A52,'Contribution Allocation_Report'!$A$9:$D$314,4,FALSE)*$M$321,0)</f>
        <v>-57000</v>
      </c>
      <c r="N52" s="40">
        <f>ROUND(VLOOKUP($A52,'Contribution Allocation_Report'!$A$9:$D$314,4,FALSE)*$N$321,0)</f>
        <v>2346</v>
      </c>
      <c r="O52" s="40">
        <f>ROUND(VLOOKUP($A52,'Contribution Allocation_Report'!$A$9:$D$314,4,FALSE)*$O$321,0)</f>
        <v>-6333</v>
      </c>
      <c r="Q52" s="40">
        <f>+VLOOKUP(A52,'Change in Proportion Layers'!$AK$8:$AP$318,2,FALSE)+K52</f>
        <v>-221516</v>
      </c>
      <c r="R52" s="40">
        <f>+VLOOKUP(A52,'Change in Proportion Layers'!$AK$8:$AP$318,3,FALSE)+L52</f>
        <v>-224294</v>
      </c>
      <c r="S52" s="40">
        <f>+VLOOKUP(A52,'Change in Proportion Layers'!$AK$8:$AP$318,4,FALSE)+M52</f>
        <v>-111214</v>
      </c>
      <c r="T52" s="40">
        <f>+VLOOKUP(A52,'Change in Proportion Layers'!$AK$8:$AP$318,5,FALSE)+N52</f>
        <v>-49709</v>
      </c>
      <c r="U52" s="40">
        <f>+VLOOKUP(A52,'Change in Proportion Layers'!$AK$8:$AP$318,6,FALSE)+O52</f>
        <v>-25465</v>
      </c>
      <c r="W52" s="40">
        <f>('OPEB Amounts_Report'!G52-'OPEB Amounts_Report'!M52)</f>
        <v>-632198</v>
      </c>
      <c r="X52" s="109">
        <f t="shared" si="5"/>
        <v>0</v>
      </c>
    </row>
    <row r="53" spans="1:24">
      <c r="A53" s="24">
        <v>2010</v>
      </c>
      <c r="B53" s="3" t="s">
        <v>42</v>
      </c>
      <c r="C53" s="38">
        <f t="shared" si="0"/>
        <v>-1037611</v>
      </c>
      <c r="D53" s="38">
        <f t="shared" si="1"/>
        <v>-764215</v>
      </c>
      <c r="E53" s="38">
        <f t="shared" si="2"/>
        <v>-338215</v>
      </c>
      <c r="F53" s="38">
        <f t="shared" si="3"/>
        <v>-137227</v>
      </c>
      <c r="G53" s="38">
        <f t="shared" si="4"/>
        <v>-72026</v>
      </c>
      <c r="I53" s="41"/>
      <c r="K53" s="40">
        <f>ROUND(VLOOKUP($A53,'Contribution Allocation_Report'!$A$9:$D$314,4,FALSE)*$K$321,0)</f>
        <v>-1012918</v>
      </c>
      <c r="L53" s="40">
        <f>ROUND(VLOOKUP($A53,'Contribution Allocation_Report'!$A$9:$D$314,4,FALSE)*$L$321,0)</f>
        <v>-682915</v>
      </c>
      <c r="M53" s="40">
        <f>ROUND(VLOOKUP($A53,'Contribution Allocation_Report'!$A$9:$D$314,4,FALSE)*$M$321,0)</f>
        <v>-219045</v>
      </c>
      <c r="N53" s="40">
        <f>ROUND(VLOOKUP($A53,'Contribution Allocation_Report'!$A$9:$D$314,4,FALSE)*$N$321,0)</f>
        <v>9017</v>
      </c>
      <c r="O53" s="40">
        <f>ROUND(VLOOKUP($A53,'Contribution Allocation_Report'!$A$9:$D$314,4,FALSE)*$O$321,0)</f>
        <v>-24337</v>
      </c>
      <c r="Q53" s="40">
        <f>+VLOOKUP(A53,'Change in Proportion Layers'!$AK$8:$AP$318,2,FALSE)+K53</f>
        <v>-1037611</v>
      </c>
      <c r="R53" s="40">
        <f>+VLOOKUP(A53,'Change in Proportion Layers'!$AK$8:$AP$318,3,FALSE)+L53</f>
        <v>-764215</v>
      </c>
      <c r="S53" s="40">
        <f>+VLOOKUP(A53,'Change in Proportion Layers'!$AK$8:$AP$318,4,FALSE)+M53</f>
        <v>-338215</v>
      </c>
      <c r="T53" s="40">
        <f>+VLOOKUP(A53,'Change in Proportion Layers'!$AK$8:$AP$318,5,FALSE)+N53</f>
        <v>-137227</v>
      </c>
      <c r="U53" s="40">
        <f>+VLOOKUP(A53,'Change in Proportion Layers'!$AK$8:$AP$318,6,FALSE)+O53-1</f>
        <v>-72026</v>
      </c>
      <c r="W53" s="40">
        <f>('OPEB Amounts_Report'!G53-'OPEB Amounts_Report'!M53)</f>
        <v>-2349294</v>
      </c>
      <c r="X53" s="109">
        <f t="shared" si="5"/>
        <v>0</v>
      </c>
    </row>
    <row r="54" spans="1:24">
      <c r="A54" s="22">
        <v>2020</v>
      </c>
      <c r="B54" s="23" t="s">
        <v>43</v>
      </c>
      <c r="C54" s="37">
        <f t="shared" si="0"/>
        <v>-28726604</v>
      </c>
      <c r="D54" s="37">
        <f t="shared" si="1"/>
        <v>-20417514</v>
      </c>
      <c r="E54" s="37">
        <f t="shared" si="2"/>
        <v>-7308539</v>
      </c>
      <c r="F54" s="37">
        <f t="shared" si="3"/>
        <v>17219</v>
      </c>
      <c r="G54" s="37">
        <f t="shared" si="4"/>
        <v>-475118</v>
      </c>
      <c r="I54" s="41"/>
      <c r="K54" s="40">
        <f>ROUND(VLOOKUP($A54,'Contribution Allocation_Report'!$A$9:$D$314,4,FALSE)*$K$321,0)</f>
        <v>-26643419</v>
      </c>
      <c r="L54" s="40">
        <f>ROUND(VLOOKUP($A54,'Contribution Allocation_Report'!$A$9:$D$314,4,FALSE)*$L$321,0)</f>
        <v>-17963125</v>
      </c>
      <c r="M54" s="40">
        <f>ROUND(VLOOKUP($A54,'Contribution Allocation_Report'!$A$9:$D$314,4,FALSE)*$M$321,0)</f>
        <v>-5761677</v>
      </c>
      <c r="N54" s="40">
        <f>ROUND(VLOOKUP($A54,'Contribution Allocation_Report'!$A$9:$D$314,4,FALSE)*$N$321,0)</f>
        <v>237182</v>
      </c>
      <c r="O54" s="40">
        <f>ROUND(VLOOKUP($A54,'Contribution Allocation_Report'!$A$9:$D$314,4,FALSE)*$O$321,0)</f>
        <v>-640148</v>
      </c>
      <c r="Q54" s="40">
        <f>+VLOOKUP(A54,'Change in Proportion Layers'!$AK$8:$AP$318,2,FALSE)+K54</f>
        <v>-28726604</v>
      </c>
      <c r="R54" s="40">
        <f>+VLOOKUP(A54,'Change in Proportion Layers'!$AK$8:$AP$318,3,FALSE)+L54</f>
        <v>-20417514</v>
      </c>
      <c r="S54" s="40">
        <f>+VLOOKUP(A54,'Change in Proportion Layers'!$AK$8:$AP$318,4,FALSE)+M54</f>
        <v>-7308539</v>
      </c>
      <c r="T54" s="40">
        <f>+VLOOKUP(A54,'Change in Proportion Layers'!$AK$8:$AP$318,5,FALSE)+N54</f>
        <v>17219</v>
      </c>
      <c r="U54" s="40">
        <f>+VLOOKUP(A54,'Change in Proportion Layers'!$AK$8:$AP$318,6,FALSE)+O54-1</f>
        <v>-475118</v>
      </c>
      <c r="W54" s="40">
        <f>('OPEB Amounts_Report'!G54-'OPEB Amounts_Report'!M54)</f>
        <v>-56910556</v>
      </c>
      <c r="X54" s="109">
        <f t="shared" si="5"/>
        <v>0</v>
      </c>
    </row>
    <row r="55" spans="1:24">
      <c r="A55" s="24">
        <v>2040</v>
      </c>
      <c r="B55" s="3" t="s">
        <v>44</v>
      </c>
      <c r="C55" s="38">
        <f t="shared" si="0"/>
        <v>-355666</v>
      </c>
      <c r="D55" s="38">
        <f t="shared" si="1"/>
        <v>-238087</v>
      </c>
      <c r="E55" s="38">
        <f t="shared" si="2"/>
        <v>-111688</v>
      </c>
      <c r="F55" s="38">
        <f t="shared" si="3"/>
        <v>-31399</v>
      </c>
      <c r="G55" s="38">
        <f t="shared" si="4"/>
        <v>-12009</v>
      </c>
      <c r="I55" s="41"/>
      <c r="K55" s="40">
        <f>ROUND(VLOOKUP($A55,'Contribution Allocation_Report'!$A$9:$D$314,4,FALSE)*$K$321,0)</f>
        <v>-355907</v>
      </c>
      <c r="L55" s="40">
        <f>ROUND(VLOOKUP($A55,'Contribution Allocation_Report'!$A$9:$D$314,4,FALSE)*$L$321,0)</f>
        <v>-239954</v>
      </c>
      <c r="M55" s="40">
        <f>ROUND(VLOOKUP($A55,'Contribution Allocation_Report'!$A$9:$D$314,4,FALSE)*$M$321,0)</f>
        <v>-76965</v>
      </c>
      <c r="N55" s="40">
        <f>ROUND(VLOOKUP($A55,'Contribution Allocation_Report'!$A$9:$D$314,4,FALSE)*$N$321,0)</f>
        <v>3168</v>
      </c>
      <c r="O55" s="40">
        <f>ROUND(VLOOKUP($A55,'Contribution Allocation_Report'!$A$9:$D$314,4,FALSE)*$O$321,0)</f>
        <v>-8551</v>
      </c>
      <c r="Q55" s="40">
        <f>+VLOOKUP(A55,'Change in Proportion Layers'!$AK$8:$AP$318,2,FALSE)+K55</f>
        <v>-355666</v>
      </c>
      <c r="R55" s="40">
        <f>+VLOOKUP(A55,'Change in Proportion Layers'!$AK$8:$AP$318,3,FALSE)+L55</f>
        <v>-238087</v>
      </c>
      <c r="S55" s="40">
        <f>+VLOOKUP(A55,'Change in Proportion Layers'!$AK$8:$AP$318,4,FALSE)+M55</f>
        <v>-111688</v>
      </c>
      <c r="T55" s="40">
        <f>+VLOOKUP(A55,'Change in Proportion Layers'!$AK$8:$AP$318,5,FALSE)+N55</f>
        <v>-31399</v>
      </c>
      <c r="U55" s="40">
        <f>+VLOOKUP(A55,'Change in Proportion Layers'!$AK$8:$AP$318,6,FALSE)+O55</f>
        <v>-12009</v>
      </c>
      <c r="W55" s="40">
        <f>('OPEB Amounts_Report'!G55-'OPEB Amounts_Report'!M55)</f>
        <v>-748849</v>
      </c>
      <c r="X55" s="109">
        <f t="shared" si="5"/>
        <v>0</v>
      </c>
    </row>
    <row r="56" spans="1:24">
      <c r="A56" s="22">
        <v>2060</v>
      </c>
      <c r="B56" s="23" t="s">
        <v>45</v>
      </c>
      <c r="C56" s="37">
        <f t="shared" si="0"/>
        <v>-183502</v>
      </c>
      <c r="D56" s="37">
        <f t="shared" si="1"/>
        <v>-156388</v>
      </c>
      <c r="E56" s="37">
        <f t="shared" si="2"/>
        <v>40899</v>
      </c>
      <c r="F56" s="37">
        <f t="shared" si="3"/>
        <v>156474</v>
      </c>
      <c r="G56" s="37">
        <f t="shared" si="4"/>
        <v>-5546</v>
      </c>
      <c r="I56" s="41"/>
      <c r="K56" s="40">
        <f>ROUND(VLOOKUP($A56,'Contribution Allocation_Report'!$A$9:$D$314,4,FALSE)*$K$321,0)</f>
        <v>-527224</v>
      </c>
      <c r="L56" s="40">
        <f>ROUND(VLOOKUP($A56,'Contribution Allocation_Report'!$A$9:$D$314,4,FALSE)*$L$321,0)</f>
        <v>-355457</v>
      </c>
      <c r="M56" s="40">
        <f>ROUND(VLOOKUP($A56,'Contribution Allocation_Report'!$A$9:$D$314,4,FALSE)*$M$321,0)</f>
        <v>-114013</v>
      </c>
      <c r="N56" s="40">
        <f>ROUND(VLOOKUP($A56,'Contribution Allocation_Report'!$A$9:$D$314,4,FALSE)*$N$321,0)</f>
        <v>4693</v>
      </c>
      <c r="O56" s="40">
        <f>ROUND(VLOOKUP($A56,'Contribution Allocation_Report'!$A$9:$D$314,4,FALSE)*$O$321,0)</f>
        <v>-12667</v>
      </c>
      <c r="Q56" s="40">
        <f>+VLOOKUP(A56,'Change in Proportion Layers'!$AK$8:$AP$318,2,FALSE)+K56</f>
        <v>-183502</v>
      </c>
      <c r="R56" s="40">
        <f>+VLOOKUP(A56,'Change in Proportion Layers'!$AK$8:$AP$318,3,FALSE)+L56</f>
        <v>-156388</v>
      </c>
      <c r="S56" s="40">
        <f>+VLOOKUP(A56,'Change in Proportion Layers'!$AK$8:$AP$318,4,FALSE)+M56</f>
        <v>40899</v>
      </c>
      <c r="T56" s="40">
        <f>+VLOOKUP(A56,'Change in Proportion Layers'!$AK$8:$AP$318,5,FALSE)+N56</f>
        <v>156474</v>
      </c>
      <c r="U56" s="40">
        <f>+VLOOKUP(A56,'Change in Proportion Layers'!$AK$8:$AP$318,6,FALSE)+O56</f>
        <v>-5546</v>
      </c>
      <c r="W56" s="40">
        <f>('OPEB Amounts_Report'!G56-'OPEB Amounts_Report'!M56)</f>
        <v>-148063</v>
      </c>
      <c r="X56" s="109">
        <f t="shared" si="5"/>
        <v>0</v>
      </c>
    </row>
    <row r="57" spans="1:24">
      <c r="A57" s="24">
        <v>2090</v>
      </c>
      <c r="B57" s="3" t="s">
        <v>46</v>
      </c>
      <c r="C57" s="38">
        <f t="shared" si="0"/>
        <v>-322298</v>
      </c>
      <c r="D57" s="38">
        <f t="shared" si="1"/>
        <v>-184962</v>
      </c>
      <c r="E57" s="38">
        <f t="shared" si="2"/>
        <v>-61729</v>
      </c>
      <c r="F57" s="38">
        <f t="shared" si="3"/>
        <v>-390</v>
      </c>
      <c r="G57" s="38">
        <f t="shared" si="4"/>
        <v>-5105</v>
      </c>
      <c r="I57" s="41"/>
      <c r="K57" s="40">
        <f>ROUND(VLOOKUP($A57,'Contribution Allocation_Report'!$A$9:$D$314,4,FALSE)*$K$321,0)</f>
        <v>-309981</v>
      </c>
      <c r="L57" s="40">
        <f>ROUND(VLOOKUP($A57,'Contribution Allocation_Report'!$A$9:$D$314,4,FALSE)*$L$321,0)</f>
        <v>-208991</v>
      </c>
      <c r="M57" s="40">
        <f>ROUND(VLOOKUP($A57,'Contribution Allocation_Report'!$A$9:$D$314,4,FALSE)*$M$321,0)</f>
        <v>-67034</v>
      </c>
      <c r="N57" s="40">
        <f>ROUND(VLOOKUP($A57,'Contribution Allocation_Report'!$A$9:$D$314,4,FALSE)*$N$321,0)</f>
        <v>2759</v>
      </c>
      <c r="O57" s="40">
        <f>ROUND(VLOOKUP($A57,'Contribution Allocation_Report'!$A$9:$D$314,4,FALSE)*$O$321,0)</f>
        <v>-7448</v>
      </c>
      <c r="Q57" s="40">
        <f>+VLOOKUP(A57,'Change in Proportion Layers'!$AK$8:$AP$318,2,FALSE)+K57</f>
        <v>-322298</v>
      </c>
      <c r="R57" s="40">
        <f>+VLOOKUP(A57,'Change in Proportion Layers'!$AK$8:$AP$318,3,FALSE)+L57</f>
        <v>-184962</v>
      </c>
      <c r="S57" s="40">
        <f>+VLOOKUP(A57,'Change in Proportion Layers'!$AK$8:$AP$318,4,FALSE)+M57</f>
        <v>-61729</v>
      </c>
      <c r="T57" s="40">
        <f>+VLOOKUP(A57,'Change in Proportion Layers'!$AK$8:$AP$318,5,FALSE)+N57</f>
        <v>-390</v>
      </c>
      <c r="U57" s="40">
        <f>+VLOOKUP(A57,'Change in Proportion Layers'!$AK$8:$AP$318,6,FALSE)+O57</f>
        <v>-5105</v>
      </c>
      <c r="W57" s="40">
        <f>('OPEB Amounts_Report'!G57-'OPEB Amounts_Report'!M57)</f>
        <v>-574484</v>
      </c>
      <c r="X57" s="109">
        <f t="shared" si="5"/>
        <v>0</v>
      </c>
    </row>
    <row r="58" spans="1:24">
      <c r="A58" s="22">
        <v>2110</v>
      </c>
      <c r="B58" s="23" t="s">
        <v>47</v>
      </c>
      <c r="C58" s="37">
        <f t="shared" si="0"/>
        <v>-2825279</v>
      </c>
      <c r="D58" s="37">
        <f t="shared" si="1"/>
        <v>-2017307</v>
      </c>
      <c r="E58" s="37">
        <f t="shared" si="2"/>
        <v>-870238</v>
      </c>
      <c r="F58" s="37">
        <f t="shared" si="3"/>
        <v>-41416</v>
      </c>
      <c r="G58" s="37">
        <f t="shared" si="4"/>
        <v>-6980</v>
      </c>
      <c r="I58" s="41"/>
      <c r="K58" s="40">
        <f>ROUND(VLOOKUP($A58,'Contribution Allocation_Report'!$A$9:$D$314,4,FALSE)*$K$321,0)</f>
        <v>-2164714</v>
      </c>
      <c r="L58" s="40">
        <f>ROUND(VLOOKUP($A58,'Contribution Allocation_Report'!$A$9:$D$314,4,FALSE)*$L$321,0)</f>
        <v>-1459461</v>
      </c>
      <c r="M58" s="40">
        <f>ROUND(VLOOKUP($A58,'Contribution Allocation_Report'!$A$9:$D$314,4,FALSE)*$M$321,0)</f>
        <v>-468123</v>
      </c>
      <c r="N58" s="40">
        <f>ROUND(VLOOKUP($A58,'Contribution Allocation_Report'!$A$9:$D$314,4,FALSE)*$N$321,0)+1</f>
        <v>19272</v>
      </c>
      <c r="O58" s="40">
        <f>ROUND(VLOOKUP($A58,'Contribution Allocation_Report'!$A$9:$D$314,4,FALSE)*$O$321,0)</f>
        <v>-52011</v>
      </c>
      <c r="Q58" s="40">
        <f>+VLOOKUP(A58,'Change in Proportion Layers'!$AK$8:$AP$318,2,FALSE)+K58</f>
        <v>-2825279</v>
      </c>
      <c r="R58" s="40">
        <f>+VLOOKUP(A58,'Change in Proportion Layers'!$AK$8:$AP$318,3,FALSE)+L58</f>
        <v>-2017307</v>
      </c>
      <c r="S58" s="40">
        <f>+VLOOKUP(A58,'Change in Proportion Layers'!$AK$8:$AP$318,4,FALSE)+M58</f>
        <v>-870238</v>
      </c>
      <c r="T58" s="40">
        <f>+VLOOKUP(A58,'Change in Proportion Layers'!$AK$8:$AP$318,5,FALSE)+N58</f>
        <v>-41416</v>
      </c>
      <c r="U58" s="40">
        <f>+VLOOKUP(A58,'Change in Proportion Layers'!$AK$8:$AP$318,6,FALSE)+O58</f>
        <v>-6980</v>
      </c>
      <c r="W58" s="40">
        <f>('OPEB Amounts_Report'!G58-'OPEB Amounts_Report'!M58)</f>
        <v>-5761220</v>
      </c>
      <c r="X58" s="109">
        <f t="shared" si="5"/>
        <v>0</v>
      </c>
    </row>
    <row r="59" spans="1:24">
      <c r="A59" s="24">
        <v>2180</v>
      </c>
      <c r="B59" s="3" t="s">
        <v>48</v>
      </c>
      <c r="C59" s="38">
        <f t="shared" si="0"/>
        <v>-1196678</v>
      </c>
      <c r="D59" s="38">
        <f t="shared" si="1"/>
        <v>-887875</v>
      </c>
      <c r="E59" s="38">
        <f t="shared" si="2"/>
        <v>-395012</v>
      </c>
      <c r="F59" s="38">
        <f t="shared" si="3"/>
        <v>-64711</v>
      </c>
      <c r="G59" s="38">
        <f t="shared" si="4"/>
        <v>-36781</v>
      </c>
      <c r="I59" s="41"/>
      <c r="K59" s="40">
        <f>ROUND(VLOOKUP($A59,'Contribution Allocation_Report'!$A$9:$D$314,4,FALSE)*$K$321,0)</f>
        <v>-1042960</v>
      </c>
      <c r="L59" s="40">
        <f>ROUND(VLOOKUP($A59,'Contribution Allocation_Report'!$A$9:$D$314,4,FALSE)*$L$321,0)</f>
        <v>-703169</v>
      </c>
      <c r="M59" s="40">
        <f>ROUND(VLOOKUP($A59,'Contribution Allocation_Report'!$A$9:$D$314,4,FALSE)*$M$321,0)</f>
        <v>-225542</v>
      </c>
      <c r="N59" s="40">
        <f>ROUND(VLOOKUP($A59,'Contribution Allocation_Report'!$A$9:$D$314,4,FALSE)*$N$321,0)</f>
        <v>9285</v>
      </c>
      <c r="O59" s="40">
        <f>ROUND(VLOOKUP($A59,'Contribution Allocation_Report'!$A$9:$D$314,4,FALSE)*$O$321,0)</f>
        <v>-25059</v>
      </c>
      <c r="Q59" s="40">
        <f>+VLOOKUP(A59,'Change in Proportion Layers'!$AK$8:$AP$318,2,FALSE)+K59</f>
        <v>-1196678</v>
      </c>
      <c r="R59" s="40">
        <f>+VLOOKUP(A59,'Change in Proportion Layers'!$AK$8:$AP$318,3,FALSE)+L59</f>
        <v>-887875</v>
      </c>
      <c r="S59" s="40">
        <f>+VLOOKUP(A59,'Change in Proportion Layers'!$AK$8:$AP$318,4,FALSE)+M59</f>
        <v>-395012</v>
      </c>
      <c r="T59" s="40">
        <f>+VLOOKUP(A59,'Change in Proportion Layers'!$AK$8:$AP$318,5,FALSE)+N59</f>
        <v>-64711</v>
      </c>
      <c r="U59" s="40">
        <f>+VLOOKUP(A59,'Change in Proportion Layers'!$AK$8:$AP$318,6,FALSE)+O59</f>
        <v>-36781</v>
      </c>
      <c r="W59" s="40">
        <f>('OPEB Amounts_Report'!G59-'OPEB Amounts_Report'!M59)</f>
        <v>-2581057</v>
      </c>
      <c r="X59" s="109">
        <f t="shared" si="5"/>
        <v>0</v>
      </c>
    </row>
    <row r="60" spans="1:24">
      <c r="A60" s="22">
        <v>2210</v>
      </c>
      <c r="B60" s="23" t="s">
        <v>49</v>
      </c>
      <c r="C60" s="37">
        <f t="shared" si="0"/>
        <v>-606769</v>
      </c>
      <c r="D60" s="37">
        <f t="shared" si="1"/>
        <v>-444276</v>
      </c>
      <c r="E60" s="37">
        <f t="shared" si="2"/>
        <v>-137528</v>
      </c>
      <c r="F60" s="37">
        <f t="shared" si="3"/>
        <v>56351</v>
      </c>
      <c r="G60" s="37">
        <f t="shared" si="4"/>
        <v>8543</v>
      </c>
      <c r="I60" s="41"/>
      <c r="K60" s="40">
        <f>ROUND(VLOOKUP($A60,'Contribution Allocation_Report'!$A$9:$D$314,4,FALSE)*$K$321,0)</f>
        <v>-499469</v>
      </c>
      <c r="L60" s="40">
        <f>ROUND(VLOOKUP($A60,'Contribution Allocation_Report'!$A$9:$D$314,4,FALSE)*$L$321,0)</f>
        <v>-336744</v>
      </c>
      <c r="M60" s="40">
        <f>ROUND(VLOOKUP($A60,'Contribution Allocation_Report'!$A$9:$D$314,4,FALSE)*$M$321,0)</f>
        <v>-108011</v>
      </c>
      <c r="N60" s="40">
        <f>ROUND(VLOOKUP($A60,'Contribution Allocation_Report'!$A$9:$D$314,4,FALSE)*$N$321,0)</f>
        <v>4446</v>
      </c>
      <c r="O60" s="40">
        <f>ROUND(VLOOKUP($A60,'Contribution Allocation_Report'!$A$9:$D$314,4,FALSE)*$O$321,0)</f>
        <v>-12000</v>
      </c>
      <c r="Q60" s="40">
        <f>+VLOOKUP(A60,'Change in Proportion Layers'!$AK$8:$AP$318,2,FALSE)+K60</f>
        <v>-606769</v>
      </c>
      <c r="R60" s="40">
        <f>+VLOOKUP(A60,'Change in Proportion Layers'!$AK$8:$AP$318,3,FALSE)+L60</f>
        <v>-444276</v>
      </c>
      <c r="S60" s="40">
        <f>+VLOOKUP(A60,'Change in Proportion Layers'!$AK$8:$AP$318,4,FALSE)+M60</f>
        <v>-137528</v>
      </c>
      <c r="T60" s="40">
        <f>+VLOOKUP(A60,'Change in Proportion Layers'!$AK$8:$AP$318,5,FALSE)+N60</f>
        <v>56351</v>
      </c>
      <c r="U60" s="40">
        <f>+VLOOKUP(A60,'Change in Proportion Layers'!$AK$8:$AP$318,6,FALSE)+O60-1</f>
        <v>8543</v>
      </c>
      <c r="W60" s="40">
        <f>('OPEB Amounts_Report'!G60-'OPEB Amounts_Report'!M60)</f>
        <v>-1123679</v>
      </c>
      <c r="X60" s="109">
        <f t="shared" si="5"/>
        <v>0</v>
      </c>
    </row>
    <row r="61" spans="1:24">
      <c r="A61" s="24">
        <v>2290</v>
      </c>
      <c r="B61" s="3" t="s">
        <v>50</v>
      </c>
      <c r="C61" s="38">
        <f t="shared" si="0"/>
        <v>-530498</v>
      </c>
      <c r="D61" s="38">
        <f t="shared" si="1"/>
        <v>-384531</v>
      </c>
      <c r="E61" s="38">
        <f t="shared" si="2"/>
        <v>-119901</v>
      </c>
      <c r="F61" s="38">
        <f t="shared" si="3"/>
        <v>17247</v>
      </c>
      <c r="G61" s="38">
        <f t="shared" si="4"/>
        <v>9625</v>
      </c>
      <c r="I61" s="41"/>
      <c r="K61" s="40">
        <f>ROUND(VLOOKUP($A61,'Contribution Allocation_Report'!$A$9:$D$314,4,FALSE)*$K$321,0)</f>
        <v>-538207</v>
      </c>
      <c r="L61" s="40">
        <f>ROUND(VLOOKUP($A61,'Contribution Allocation_Report'!$A$9:$D$314,4,FALSE)*$L$321,0)</f>
        <v>-362862</v>
      </c>
      <c r="M61" s="40">
        <f>ROUND(VLOOKUP($A61,'Contribution Allocation_Report'!$A$9:$D$314,4,FALSE)*$M$321,0)</f>
        <v>-116388</v>
      </c>
      <c r="N61" s="40">
        <f>ROUND(VLOOKUP($A61,'Contribution Allocation_Report'!$A$9:$D$314,4,FALSE)*$N$321,0)</f>
        <v>4791</v>
      </c>
      <c r="O61" s="40">
        <f>ROUND(VLOOKUP($A61,'Contribution Allocation_Report'!$A$9:$D$314,4,FALSE)*$O$321,0)</f>
        <v>-12931</v>
      </c>
      <c r="Q61" s="40">
        <f>+VLOOKUP(A61,'Change in Proportion Layers'!$AK$8:$AP$318,2,FALSE)+K61</f>
        <v>-530498</v>
      </c>
      <c r="R61" s="40">
        <f>+VLOOKUP(A61,'Change in Proportion Layers'!$AK$8:$AP$318,3,FALSE)+L61</f>
        <v>-384531</v>
      </c>
      <c r="S61" s="40">
        <f>+VLOOKUP(A61,'Change in Proportion Layers'!$AK$8:$AP$318,4,FALSE)+M61</f>
        <v>-119901</v>
      </c>
      <c r="T61" s="40">
        <f>+VLOOKUP(A61,'Change in Proportion Layers'!$AK$8:$AP$318,5,FALSE)+N61</f>
        <v>17247</v>
      </c>
      <c r="U61" s="40">
        <f>+VLOOKUP(A61,'Change in Proportion Layers'!$AK$8:$AP$318,6,FALSE)+O61</f>
        <v>9625</v>
      </c>
      <c r="W61" s="40">
        <f>('OPEB Amounts_Report'!G61-'OPEB Amounts_Report'!M61)</f>
        <v>-1008058</v>
      </c>
      <c r="X61" s="109">
        <f t="shared" si="5"/>
        <v>0</v>
      </c>
    </row>
    <row r="62" spans="1:24">
      <c r="A62" s="22">
        <v>2310</v>
      </c>
      <c r="B62" s="23" t="s">
        <v>51</v>
      </c>
      <c r="C62" s="37">
        <f t="shared" si="0"/>
        <v>-4217473</v>
      </c>
      <c r="D62" s="37">
        <f t="shared" si="1"/>
        <v>-2895588</v>
      </c>
      <c r="E62" s="37">
        <f t="shared" si="2"/>
        <v>-1149987</v>
      </c>
      <c r="F62" s="37">
        <f t="shared" si="3"/>
        <v>-93787</v>
      </c>
      <c r="G62" s="37">
        <f t="shared" si="4"/>
        <v>-342236</v>
      </c>
      <c r="I62" s="41"/>
      <c r="K62" s="40">
        <f>ROUND(VLOOKUP($A62,'Contribution Allocation_Report'!$A$9:$D$314,4,FALSE)*$K$321,0)</f>
        <v>-3423612</v>
      </c>
      <c r="L62" s="40">
        <f>ROUND(VLOOKUP($A62,'Contribution Allocation_Report'!$A$9:$D$314,4,FALSE)*$L$321,0)</f>
        <v>-2308216</v>
      </c>
      <c r="M62" s="40">
        <f>ROUND(VLOOKUP($A62,'Contribution Allocation_Report'!$A$9:$D$314,4,FALSE)*$M$321,0)</f>
        <v>-740361</v>
      </c>
      <c r="N62" s="40">
        <f>ROUND(VLOOKUP($A62,'Contribution Allocation_Report'!$A$9:$D$314,4,FALSE)*$N$321,0)</f>
        <v>30477</v>
      </c>
      <c r="O62" s="40">
        <f>ROUND(VLOOKUP($A62,'Contribution Allocation_Report'!$A$9:$D$314,4,FALSE)*$O$321,0)</f>
        <v>-82257</v>
      </c>
      <c r="Q62" s="40">
        <f>+VLOOKUP(A62,'Change in Proportion Layers'!$AK$8:$AP$318,2,FALSE)+K62</f>
        <v>-4217473</v>
      </c>
      <c r="R62" s="40">
        <f>+VLOOKUP(A62,'Change in Proportion Layers'!$AK$8:$AP$318,3,FALSE)+L62</f>
        <v>-2895588</v>
      </c>
      <c r="S62" s="40">
        <f>+VLOOKUP(A62,'Change in Proportion Layers'!$AK$8:$AP$318,4,FALSE)+M62</f>
        <v>-1149987</v>
      </c>
      <c r="T62" s="40">
        <f>+VLOOKUP(A62,'Change in Proportion Layers'!$AK$8:$AP$318,5,FALSE)+N62</f>
        <v>-93787</v>
      </c>
      <c r="U62" s="40">
        <f>+VLOOKUP(A62,'Change in Proportion Layers'!$AK$8:$AP$318,6,FALSE)+O62</f>
        <v>-342236</v>
      </c>
      <c r="W62" s="40">
        <f>('OPEB Amounts_Report'!G62-'OPEB Amounts_Report'!M62)</f>
        <v>-8699071</v>
      </c>
      <c r="X62" s="109">
        <f t="shared" si="5"/>
        <v>0</v>
      </c>
    </row>
    <row r="63" spans="1:24">
      <c r="A63" s="24">
        <v>2330</v>
      </c>
      <c r="B63" s="3" t="s">
        <v>52</v>
      </c>
      <c r="C63" s="38">
        <f t="shared" si="0"/>
        <v>-1495073</v>
      </c>
      <c r="D63" s="38">
        <f t="shared" si="1"/>
        <v>-910867</v>
      </c>
      <c r="E63" s="38">
        <f t="shared" si="2"/>
        <v>-338739</v>
      </c>
      <c r="F63" s="38">
        <f t="shared" si="3"/>
        <v>250952</v>
      </c>
      <c r="G63" s="38">
        <f t="shared" si="4"/>
        <v>107197</v>
      </c>
      <c r="I63" s="41"/>
      <c r="K63" s="40">
        <f>ROUND(VLOOKUP($A63,'Contribution Allocation_Report'!$A$9:$D$314,4,FALSE)*$K$321,0)</f>
        <v>-1328935</v>
      </c>
      <c r="L63" s="40">
        <f>ROUND(VLOOKUP($A63,'Contribution Allocation_Report'!$A$9:$D$314,4,FALSE)*$L$321,0)</f>
        <v>-895974</v>
      </c>
      <c r="M63" s="40">
        <f>ROUND(VLOOKUP($A63,'Contribution Allocation_Report'!$A$9:$D$314,4,FALSE)*$M$321,0)</f>
        <v>-287384</v>
      </c>
      <c r="N63" s="40">
        <f>ROUND(VLOOKUP($A63,'Contribution Allocation_Report'!$A$9:$D$314,4,FALSE)*$N$321,0)+1</f>
        <v>11831</v>
      </c>
      <c r="O63" s="40">
        <f>ROUND(VLOOKUP($A63,'Contribution Allocation_Report'!$A$9:$D$314,4,FALSE)*$O$321,0)</f>
        <v>-31930</v>
      </c>
      <c r="Q63" s="40">
        <f>+VLOOKUP(A63,'Change in Proportion Layers'!$AK$8:$AP$318,2,FALSE)+K63</f>
        <v>-1495073</v>
      </c>
      <c r="R63" s="40">
        <f>+VLOOKUP(A63,'Change in Proportion Layers'!$AK$8:$AP$318,3,FALSE)+L63</f>
        <v>-910867</v>
      </c>
      <c r="S63" s="40">
        <f>+VLOOKUP(A63,'Change in Proportion Layers'!$AK$8:$AP$318,4,FALSE)+M63</f>
        <v>-338739</v>
      </c>
      <c r="T63" s="40">
        <f>+VLOOKUP(A63,'Change in Proportion Layers'!$AK$8:$AP$318,5,FALSE)+N63</f>
        <v>250952</v>
      </c>
      <c r="U63" s="40">
        <f>+VLOOKUP(A63,'Change in Proportion Layers'!$AK$8:$AP$318,6,FALSE)+O63</f>
        <v>107197</v>
      </c>
      <c r="W63" s="40">
        <f>('OPEB Amounts_Report'!G63-'OPEB Amounts_Report'!M63)</f>
        <v>-2386530</v>
      </c>
      <c r="X63" s="109">
        <f t="shared" si="5"/>
        <v>0</v>
      </c>
    </row>
    <row r="64" spans="1:24">
      <c r="A64" s="22">
        <v>2380</v>
      </c>
      <c r="B64" s="23" t="s">
        <v>53</v>
      </c>
      <c r="C64" s="37">
        <f t="shared" si="0"/>
        <v>-113217</v>
      </c>
      <c r="D64" s="37">
        <f t="shared" si="1"/>
        <v>-103089</v>
      </c>
      <c r="E64" s="37">
        <f t="shared" si="2"/>
        <v>-31988</v>
      </c>
      <c r="F64" s="37">
        <f t="shared" si="3"/>
        <v>305</v>
      </c>
      <c r="G64" s="37">
        <f t="shared" si="4"/>
        <v>-24174</v>
      </c>
      <c r="I64" s="41"/>
      <c r="K64" s="40">
        <f>ROUND(VLOOKUP($A64,'Contribution Allocation_Report'!$A$9:$D$314,4,FALSE)*$K$321,0)</f>
        <v>-210454</v>
      </c>
      <c r="L64" s="40">
        <f>ROUND(VLOOKUP($A64,'Contribution Allocation_Report'!$A$9:$D$314,4,FALSE)*$L$321,0)</f>
        <v>-141889</v>
      </c>
      <c r="M64" s="40">
        <f>ROUND(VLOOKUP($A64,'Contribution Allocation_Report'!$A$9:$D$314,4,FALSE)*$M$321,0)</f>
        <v>-45511</v>
      </c>
      <c r="N64" s="40">
        <f>ROUND(VLOOKUP($A64,'Contribution Allocation_Report'!$A$9:$D$314,4,FALSE)*$N$321,0)</f>
        <v>1873</v>
      </c>
      <c r="O64" s="40">
        <f>ROUND(VLOOKUP($A64,'Contribution Allocation_Report'!$A$9:$D$314,4,FALSE)*$O$321,0)</f>
        <v>-5056</v>
      </c>
      <c r="Q64" s="40">
        <f>+VLOOKUP(A64,'Change in Proportion Layers'!$AK$8:$AP$318,2,FALSE)+K64</f>
        <v>-113217</v>
      </c>
      <c r="R64" s="40">
        <f>+VLOOKUP(A64,'Change in Proportion Layers'!$AK$8:$AP$318,3,FALSE)+L64</f>
        <v>-103089</v>
      </c>
      <c r="S64" s="40">
        <f>+VLOOKUP(A64,'Change in Proportion Layers'!$AK$8:$AP$318,4,FALSE)+M64</f>
        <v>-31988</v>
      </c>
      <c r="T64" s="40">
        <f>+VLOOKUP(A64,'Change in Proportion Layers'!$AK$8:$AP$318,5,FALSE)+N64</f>
        <v>305</v>
      </c>
      <c r="U64" s="40">
        <f>+VLOOKUP(A64,'Change in Proportion Layers'!$AK$8:$AP$318,6,FALSE)+O64-1</f>
        <v>-24174</v>
      </c>
      <c r="W64" s="40">
        <f>('OPEB Amounts_Report'!G64-'OPEB Amounts_Report'!M64)</f>
        <v>-272163</v>
      </c>
      <c r="X64" s="109">
        <f t="shared" si="5"/>
        <v>0</v>
      </c>
    </row>
    <row r="65" spans="1:24">
      <c r="A65" s="24">
        <v>2400</v>
      </c>
      <c r="B65" s="3" t="s">
        <v>54</v>
      </c>
      <c r="C65" s="38">
        <f t="shared" si="0"/>
        <v>-6568683</v>
      </c>
      <c r="D65" s="38">
        <f t="shared" si="1"/>
        <v>-4569370</v>
      </c>
      <c r="E65" s="38">
        <f t="shared" si="2"/>
        <v>-1449731</v>
      </c>
      <c r="F65" s="38">
        <f t="shared" si="3"/>
        <v>448722</v>
      </c>
      <c r="G65" s="38">
        <f t="shared" si="4"/>
        <v>-211201</v>
      </c>
      <c r="I65" s="41"/>
      <c r="K65" s="40">
        <f>ROUND(VLOOKUP($A65,'Contribution Allocation_Report'!$A$9:$D$314,4,FALSE)*$K$321,0)</f>
        <v>-6464432</v>
      </c>
      <c r="L65" s="40">
        <f>ROUND(VLOOKUP($A65,'Contribution Allocation_Report'!$A$9:$D$314,4,FALSE)*$L$321,0)</f>
        <v>-4358352</v>
      </c>
      <c r="M65" s="40">
        <f>ROUND(VLOOKUP($A65,'Contribution Allocation_Report'!$A$9:$D$314,4,FALSE)*$M$321,0)</f>
        <v>-1397942</v>
      </c>
      <c r="N65" s="40">
        <f>ROUND(VLOOKUP($A65,'Contribution Allocation_Report'!$A$9:$D$314,4,FALSE)*$N$321,0)</f>
        <v>57547</v>
      </c>
      <c r="O65" s="40">
        <f>ROUND(VLOOKUP($A65,'Contribution Allocation_Report'!$A$9:$D$314,4,FALSE)*$O$321,0)</f>
        <v>-155318</v>
      </c>
      <c r="Q65" s="40">
        <f>+VLOOKUP(A65,'Change in Proportion Layers'!$AK$8:$AP$318,2,FALSE)+K65</f>
        <v>-6568683</v>
      </c>
      <c r="R65" s="40">
        <f>+VLOOKUP(A65,'Change in Proportion Layers'!$AK$8:$AP$318,3,FALSE)+L65</f>
        <v>-4569370</v>
      </c>
      <c r="S65" s="40">
        <f>+VLOOKUP(A65,'Change in Proportion Layers'!$AK$8:$AP$318,4,FALSE)+M65</f>
        <v>-1449731</v>
      </c>
      <c r="T65" s="40">
        <f>+VLOOKUP(A65,'Change in Proportion Layers'!$AK$8:$AP$318,5,FALSE)+N65</f>
        <v>448722</v>
      </c>
      <c r="U65" s="40">
        <f>+VLOOKUP(A65,'Change in Proportion Layers'!$AK$8:$AP$318,6,FALSE)+O65</f>
        <v>-211201</v>
      </c>
      <c r="W65" s="40">
        <f>('OPEB Amounts_Report'!G65-'OPEB Amounts_Report'!M65)</f>
        <v>-12350263</v>
      </c>
      <c r="X65" s="109">
        <f t="shared" si="5"/>
        <v>0</v>
      </c>
    </row>
    <row r="66" spans="1:24">
      <c r="A66" s="22">
        <v>2410</v>
      </c>
      <c r="B66" s="23" t="s">
        <v>55</v>
      </c>
      <c r="C66" s="37">
        <f t="shared" si="0"/>
        <v>-827558</v>
      </c>
      <c r="D66" s="37">
        <f t="shared" si="1"/>
        <v>-632648</v>
      </c>
      <c r="E66" s="37">
        <f t="shared" si="2"/>
        <v>-280347</v>
      </c>
      <c r="F66" s="37">
        <f t="shared" si="3"/>
        <v>9699</v>
      </c>
      <c r="G66" s="37">
        <f t="shared" si="4"/>
        <v>36963</v>
      </c>
      <c r="I66" s="41"/>
      <c r="K66" s="40">
        <f>ROUND(VLOOKUP($A66,'Contribution Allocation_Report'!$A$9:$D$314,4,FALSE)*$K$321,0)</f>
        <v>-709761</v>
      </c>
      <c r="L66" s="40">
        <f>ROUND(VLOOKUP($A66,'Contribution Allocation_Report'!$A$9:$D$314,4,FALSE)*$L$321,0)</f>
        <v>-478524</v>
      </c>
      <c r="M66" s="40">
        <f>ROUND(VLOOKUP($A66,'Contribution Allocation_Report'!$A$9:$D$314,4,FALSE)*$M$321,0)</f>
        <v>-153487</v>
      </c>
      <c r="N66" s="40">
        <f>ROUND(VLOOKUP($A66,'Contribution Allocation_Report'!$A$9:$D$314,4,FALSE)*$N$321,0)</f>
        <v>6318</v>
      </c>
      <c r="O66" s="40">
        <f>ROUND(VLOOKUP($A66,'Contribution Allocation_Report'!$A$9:$D$314,4,FALSE)*$O$321,0)</f>
        <v>-17053</v>
      </c>
      <c r="Q66" s="40">
        <f>+VLOOKUP(A66,'Change in Proportion Layers'!$AK$8:$AP$318,2,FALSE)+K66</f>
        <v>-827558</v>
      </c>
      <c r="R66" s="40">
        <f>+VLOOKUP(A66,'Change in Proportion Layers'!$AK$8:$AP$318,3,FALSE)+L66</f>
        <v>-632648</v>
      </c>
      <c r="S66" s="40">
        <f>+VLOOKUP(A66,'Change in Proportion Layers'!$AK$8:$AP$318,4,FALSE)+M66</f>
        <v>-280347</v>
      </c>
      <c r="T66" s="40">
        <f>+VLOOKUP(A66,'Change in Proportion Layers'!$AK$8:$AP$318,5,FALSE)+N66</f>
        <v>9699</v>
      </c>
      <c r="U66" s="40">
        <f>+VLOOKUP(A66,'Change in Proportion Layers'!$AK$8:$AP$318,6,FALSE)+O66-1</f>
        <v>36963</v>
      </c>
      <c r="W66" s="40">
        <f>('OPEB Amounts_Report'!G66-'OPEB Amounts_Report'!M66)</f>
        <v>-1693891</v>
      </c>
      <c r="X66" s="109">
        <f t="shared" si="5"/>
        <v>0</v>
      </c>
    </row>
    <row r="67" spans="1:24">
      <c r="A67" s="24">
        <v>2500</v>
      </c>
      <c r="B67" s="3" t="s">
        <v>56</v>
      </c>
      <c r="C67" s="38">
        <f t="shared" si="0"/>
        <v>-101412</v>
      </c>
      <c r="D67" s="38">
        <f t="shared" si="1"/>
        <v>-69301</v>
      </c>
      <c r="E67" s="38">
        <f t="shared" si="2"/>
        <v>-34367</v>
      </c>
      <c r="F67" s="38">
        <f t="shared" si="3"/>
        <v>-21085</v>
      </c>
      <c r="G67" s="38">
        <f t="shared" si="4"/>
        <v>-1560</v>
      </c>
      <c r="I67" s="41"/>
      <c r="K67" s="40">
        <f>ROUND(VLOOKUP($A67,'Contribution Allocation_Report'!$A$9:$D$314,4,FALSE)*$K$321,0)</f>
        <v>-120752</v>
      </c>
      <c r="L67" s="40">
        <f>ROUND(VLOOKUP($A67,'Contribution Allocation_Report'!$A$9:$D$314,4,FALSE)*$L$321,0)</f>
        <v>-81412</v>
      </c>
      <c r="M67" s="40">
        <f>ROUND(VLOOKUP($A67,'Contribution Allocation_Report'!$A$9:$D$314,4,FALSE)*$M$321,0)</f>
        <v>-26113</v>
      </c>
      <c r="N67" s="40">
        <f>ROUND(VLOOKUP($A67,'Contribution Allocation_Report'!$A$9:$D$314,4,FALSE)*$N$321,0)</f>
        <v>1075</v>
      </c>
      <c r="O67" s="40">
        <f>ROUND(VLOOKUP($A67,'Contribution Allocation_Report'!$A$9:$D$314,4,FALSE)*$O$321,0)</f>
        <v>-2901</v>
      </c>
      <c r="Q67" s="40">
        <f>+VLOOKUP(A67,'Change in Proportion Layers'!$AK$8:$AP$318,2,FALSE)+K67</f>
        <v>-101412</v>
      </c>
      <c r="R67" s="40">
        <f>+VLOOKUP(A67,'Change in Proportion Layers'!$AK$8:$AP$318,3,FALSE)+L67</f>
        <v>-69301</v>
      </c>
      <c r="S67" s="40">
        <f>+VLOOKUP(A67,'Change in Proportion Layers'!$AK$8:$AP$318,4,FALSE)+M67</f>
        <v>-34367</v>
      </c>
      <c r="T67" s="40">
        <f>+VLOOKUP(A67,'Change in Proportion Layers'!$AK$8:$AP$318,5,FALSE)+N67</f>
        <v>-21085</v>
      </c>
      <c r="U67" s="40">
        <f>+VLOOKUP(A67,'Change in Proportion Layers'!$AK$8:$AP$318,6,FALSE)+O67</f>
        <v>-1560</v>
      </c>
      <c r="W67" s="40">
        <f>('OPEB Amounts_Report'!G67-'OPEB Amounts_Report'!M67)</f>
        <v>-227725</v>
      </c>
      <c r="X67" s="109">
        <f t="shared" si="5"/>
        <v>0</v>
      </c>
    </row>
    <row r="68" spans="1:24">
      <c r="A68" s="22">
        <v>2550</v>
      </c>
      <c r="B68" s="23" t="s">
        <v>57</v>
      </c>
      <c r="C68" s="37">
        <f t="shared" si="0"/>
        <v>-511883</v>
      </c>
      <c r="D68" s="37">
        <f t="shared" si="1"/>
        <v>-355093</v>
      </c>
      <c r="E68" s="37">
        <f t="shared" si="2"/>
        <v>-144349</v>
      </c>
      <c r="F68" s="37">
        <f t="shared" si="3"/>
        <v>-24878</v>
      </c>
      <c r="G68" s="37">
        <f t="shared" si="4"/>
        <v>-14100</v>
      </c>
      <c r="I68" s="41"/>
      <c r="K68" s="40">
        <f>ROUND(VLOOKUP($A68,'Contribution Allocation_Report'!$A$9:$D$314,4,FALSE)*$K$321,0)</f>
        <v>-439481</v>
      </c>
      <c r="L68" s="40">
        <f>ROUND(VLOOKUP($A68,'Contribution Allocation_Report'!$A$9:$D$314,4,FALSE)*$L$321,0)</f>
        <v>-296300</v>
      </c>
      <c r="M68" s="40">
        <f>ROUND(VLOOKUP($A68,'Contribution Allocation_Report'!$A$9:$D$314,4,FALSE)*$M$321,0)</f>
        <v>-95038</v>
      </c>
      <c r="N68" s="40">
        <f>ROUND(VLOOKUP($A68,'Contribution Allocation_Report'!$A$9:$D$314,4,FALSE)*$N$321,0)</f>
        <v>3912</v>
      </c>
      <c r="O68" s="40">
        <f>ROUND(VLOOKUP($A68,'Contribution Allocation_Report'!$A$9:$D$314,4,FALSE)*$O$321,0)</f>
        <v>-10559</v>
      </c>
      <c r="Q68" s="40">
        <f>+VLOOKUP(A68,'Change in Proportion Layers'!$AK$8:$AP$318,2,FALSE)+K68</f>
        <v>-511883</v>
      </c>
      <c r="R68" s="40">
        <f>+VLOOKUP(A68,'Change in Proportion Layers'!$AK$8:$AP$318,3,FALSE)+L68</f>
        <v>-355093</v>
      </c>
      <c r="S68" s="40">
        <f>+VLOOKUP(A68,'Change in Proportion Layers'!$AK$8:$AP$318,4,FALSE)+M68</f>
        <v>-144349</v>
      </c>
      <c r="T68" s="40">
        <f>+VLOOKUP(A68,'Change in Proportion Layers'!$AK$8:$AP$318,5,FALSE)+N68</f>
        <v>-24878</v>
      </c>
      <c r="U68" s="40">
        <f>+VLOOKUP(A68,'Change in Proportion Layers'!$AK$8:$AP$318,6,FALSE)+O68-1</f>
        <v>-14100</v>
      </c>
      <c r="W68" s="40">
        <f>('OPEB Amounts_Report'!G68-'OPEB Amounts_Report'!M68)</f>
        <v>-1050303</v>
      </c>
      <c r="X68" s="109">
        <f t="shared" si="5"/>
        <v>0</v>
      </c>
    </row>
    <row r="69" spans="1:24">
      <c r="A69" s="24">
        <v>2570</v>
      </c>
      <c r="B69" s="3" t="s">
        <v>58</v>
      </c>
      <c r="C69" s="38">
        <f t="shared" si="0"/>
        <v>-333648</v>
      </c>
      <c r="D69" s="38">
        <f t="shared" si="1"/>
        <v>-225692</v>
      </c>
      <c r="E69" s="38">
        <f t="shared" si="2"/>
        <v>-65294</v>
      </c>
      <c r="F69" s="38">
        <f t="shared" si="3"/>
        <v>29244</v>
      </c>
      <c r="G69" s="38">
        <f t="shared" si="4"/>
        <v>7899</v>
      </c>
      <c r="I69" s="41"/>
      <c r="K69" s="40">
        <f>ROUND(VLOOKUP($A69,'Contribution Allocation_Report'!$A$9:$D$314,4,FALSE)*$K$321,0)</f>
        <v>-297480</v>
      </c>
      <c r="L69" s="40">
        <f>ROUND(VLOOKUP($A69,'Contribution Allocation_Report'!$A$9:$D$314,4,FALSE)*$L$321,0)</f>
        <v>-200562</v>
      </c>
      <c r="M69" s="40">
        <f>ROUND(VLOOKUP($A69,'Contribution Allocation_Report'!$A$9:$D$314,4,FALSE)*$M$321,0)</f>
        <v>-64330</v>
      </c>
      <c r="N69" s="40">
        <f>ROUND(VLOOKUP($A69,'Contribution Allocation_Report'!$A$9:$D$314,4,FALSE)*$N$321,0)</f>
        <v>2648</v>
      </c>
      <c r="O69" s="40">
        <f>ROUND(VLOOKUP($A69,'Contribution Allocation_Report'!$A$9:$D$314,4,FALSE)*$O$321,0)</f>
        <v>-7147</v>
      </c>
      <c r="Q69" s="40">
        <f>+VLOOKUP(A69,'Change in Proportion Layers'!$AK$8:$AP$318,2,FALSE)+K69</f>
        <v>-333648</v>
      </c>
      <c r="R69" s="40">
        <f>+VLOOKUP(A69,'Change in Proportion Layers'!$AK$8:$AP$318,3,FALSE)+L69</f>
        <v>-225692</v>
      </c>
      <c r="S69" s="40">
        <f>+VLOOKUP(A69,'Change in Proportion Layers'!$AK$8:$AP$318,4,FALSE)+M69</f>
        <v>-65294</v>
      </c>
      <c r="T69" s="40">
        <f>+VLOOKUP(A69,'Change in Proportion Layers'!$AK$8:$AP$318,5,FALSE)+N69</f>
        <v>29244</v>
      </c>
      <c r="U69" s="40">
        <f>+VLOOKUP(A69,'Change in Proportion Layers'!$AK$8:$AP$318,6,FALSE)+O69-1</f>
        <v>7899</v>
      </c>
      <c r="W69" s="40">
        <f>('OPEB Amounts_Report'!G69-'OPEB Amounts_Report'!M69)</f>
        <v>-587491</v>
      </c>
      <c r="X69" s="109">
        <f t="shared" si="5"/>
        <v>0</v>
      </c>
    </row>
    <row r="70" spans="1:24">
      <c r="A70" s="22">
        <v>2620</v>
      </c>
      <c r="B70" s="23" t="s">
        <v>59</v>
      </c>
      <c r="C70" s="37">
        <f t="shared" si="0"/>
        <v>-3063122</v>
      </c>
      <c r="D70" s="37">
        <f t="shared" si="1"/>
        <v>-1970394</v>
      </c>
      <c r="E70" s="37">
        <f t="shared" si="2"/>
        <v>-495086</v>
      </c>
      <c r="F70" s="37">
        <f t="shared" si="3"/>
        <v>387556</v>
      </c>
      <c r="G70" s="37">
        <f t="shared" si="4"/>
        <v>-59902</v>
      </c>
      <c r="I70" s="41"/>
      <c r="K70" s="40">
        <f>ROUND(VLOOKUP($A70,'Contribution Allocation_Report'!$A$9:$D$314,4,FALSE)*$K$321,0)</f>
        <v>-2940927</v>
      </c>
      <c r="L70" s="40">
        <f>ROUND(VLOOKUP($A70,'Contribution Allocation_Report'!$A$9:$D$314,4,FALSE)*$L$321,0)</f>
        <v>-1982787</v>
      </c>
      <c r="M70" s="40">
        <f>ROUND(VLOOKUP($A70,'Contribution Allocation_Report'!$A$9:$D$314,4,FALSE)*$M$321,0)</f>
        <v>-635980</v>
      </c>
      <c r="N70" s="40">
        <f>ROUND(VLOOKUP($A70,'Contribution Allocation_Report'!$A$9:$D$314,4,FALSE)*$N$321,0)</f>
        <v>26180</v>
      </c>
      <c r="O70" s="40">
        <f>ROUND(VLOOKUP($A70,'Contribution Allocation_Report'!$A$9:$D$314,4,FALSE)*$O$321,0)</f>
        <v>-70660</v>
      </c>
      <c r="Q70" s="40">
        <f>+VLOOKUP(A70,'Change in Proportion Layers'!$AK$8:$AP$318,2,FALSE)+K70</f>
        <v>-3063122</v>
      </c>
      <c r="R70" s="40">
        <f>+VLOOKUP(A70,'Change in Proportion Layers'!$AK$8:$AP$318,3,FALSE)+L70</f>
        <v>-1970394</v>
      </c>
      <c r="S70" s="40">
        <f>+VLOOKUP(A70,'Change in Proportion Layers'!$AK$8:$AP$318,4,FALSE)+M70</f>
        <v>-495086</v>
      </c>
      <c r="T70" s="40">
        <f>+VLOOKUP(A70,'Change in Proportion Layers'!$AK$8:$AP$318,5,FALSE)+N70</f>
        <v>387556</v>
      </c>
      <c r="U70" s="40">
        <f>+VLOOKUP(A70,'Change in Proportion Layers'!$AK$8:$AP$318,6,FALSE)+O70-1</f>
        <v>-59902</v>
      </c>
      <c r="W70" s="40">
        <f>('OPEB Amounts_Report'!G70-'OPEB Amounts_Report'!M70)</f>
        <v>-5200948</v>
      </c>
      <c r="X70" s="109">
        <f t="shared" si="5"/>
        <v>0</v>
      </c>
    </row>
    <row r="71" spans="1:24">
      <c r="A71" s="24">
        <v>2630</v>
      </c>
      <c r="B71" s="3" t="s">
        <v>60</v>
      </c>
      <c r="C71" s="38">
        <f t="shared" si="0"/>
        <v>-2350079</v>
      </c>
      <c r="D71" s="38">
        <f t="shared" si="1"/>
        <v>-1568439</v>
      </c>
      <c r="E71" s="38">
        <f t="shared" si="2"/>
        <v>-937526</v>
      </c>
      <c r="F71" s="38">
        <f t="shared" si="3"/>
        <v>-313490</v>
      </c>
      <c r="G71" s="38">
        <f t="shared" si="4"/>
        <v>-99430</v>
      </c>
      <c r="I71" s="41"/>
      <c r="K71" s="40">
        <f>ROUND(VLOOKUP($A71,'Contribution Allocation_Report'!$A$9:$D$314,4,FALSE)*$K$321,0)</f>
        <v>-2045607</v>
      </c>
      <c r="L71" s="40">
        <f>ROUND(VLOOKUP($A71,'Contribution Allocation_Report'!$A$9:$D$314,4,FALSE)*$L$321,0)</f>
        <v>-1379158</v>
      </c>
      <c r="M71" s="40">
        <f>ROUND(VLOOKUP($A71,'Contribution Allocation_Report'!$A$9:$D$314,4,FALSE)*$M$321,0)</f>
        <v>-442365</v>
      </c>
      <c r="N71" s="40">
        <f>ROUND(VLOOKUP($A71,'Contribution Allocation_Report'!$A$9:$D$314,4,FALSE)*$N$321,0)+1</f>
        <v>18211</v>
      </c>
      <c r="O71" s="40">
        <f>ROUND(VLOOKUP($A71,'Contribution Allocation_Report'!$A$9:$D$314,4,FALSE)*$O$321,0)</f>
        <v>-49149</v>
      </c>
      <c r="Q71" s="40">
        <f>+VLOOKUP(A71,'Change in Proportion Layers'!$AK$8:$AP$318,2,FALSE)+K71</f>
        <v>-2350079</v>
      </c>
      <c r="R71" s="40">
        <f>+VLOOKUP(A71,'Change in Proportion Layers'!$AK$8:$AP$318,3,FALSE)+L71</f>
        <v>-1568439</v>
      </c>
      <c r="S71" s="40">
        <f>+VLOOKUP(A71,'Change in Proportion Layers'!$AK$8:$AP$318,4,FALSE)+M71</f>
        <v>-937526</v>
      </c>
      <c r="T71" s="40">
        <f>+VLOOKUP(A71,'Change in Proportion Layers'!$AK$8:$AP$318,5,FALSE)+N71</f>
        <v>-313490</v>
      </c>
      <c r="U71" s="40">
        <f>+VLOOKUP(A71,'Change in Proportion Layers'!$AK$8:$AP$318,6,FALSE)+O71</f>
        <v>-99430</v>
      </c>
      <c r="W71" s="40">
        <f>('OPEB Amounts_Report'!G71-'OPEB Amounts_Report'!M71)</f>
        <v>-5268964</v>
      </c>
      <c r="X71" s="109">
        <f t="shared" si="5"/>
        <v>0</v>
      </c>
    </row>
    <row r="72" spans="1:24">
      <c r="A72" s="22">
        <v>2690</v>
      </c>
      <c r="B72" s="23" t="s">
        <v>61</v>
      </c>
      <c r="C72" s="37">
        <f t="shared" si="0"/>
        <v>-6482540</v>
      </c>
      <c r="D72" s="37">
        <f t="shared" si="1"/>
        <v>-3641696</v>
      </c>
      <c r="E72" s="37">
        <f t="shared" si="2"/>
        <v>-958642</v>
      </c>
      <c r="F72" s="37">
        <f t="shared" si="3"/>
        <v>66450</v>
      </c>
      <c r="G72" s="37">
        <f t="shared" si="4"/>
        <v>72390</v>
      </c>
      <c r="I72" s="41"/>
      <c r="K72" s="40">
        <f>ROUND(VLOOKUP($A72,'Contribution Allocation_Report'!$A$9:$D$314,4,FALSE)*$K$321,0)</f>
        <v>-5712932</v>
      </c>
      <c r="L72" s="40">
        <f>ROUND(VLOOKUP($A72,'Contribution Allocation_Report'!$A$9:$D$314,4,FALSE)*$L$321,0)</f>
        <v>-3851687</v>
      </c>
      <c r="M72" s="40">
        <f>ROUND(VLOOKUP($A72,'Contribution Allocation_Report'!$A$9:$D$314,4,FALSE)*$M$321,0)</f>
        <v>-1235430</v>
      </c>
      <c r="N72" s="40">
        <f>ROUND(VLOOKUP($A72,'Contribution Allocation_Report'!$A$9:$D$314,4,FALSE)*$N$321,0)</f>
        <v>50857</v>
      </c>
      <c r="O72" s="40">
        <f>ROUND(VLOOKUP($A72,'Contribution Allocation_Report'!$A$9:$D$314,4,FALSE)*$O$321,0)+2</f>
        <v>-137260</v>
      </c>
      <c r="Q72" s="40">
        <f>+VLOOKUP(A72,'Change in Proportion Layers'!$AK$8:$AP$318,2,FALSE)+K72</f>
        <v>-6482540</v>
      </c>
      <c r="R72" s="40">
        <f>+VLOOKUP(A72,'Change in Proportion Layers'!$AK$8:$AP$318,3,FALSE)+L72</f>
        <v>-3641696</v>
      </c>
      <c r="S72" s="40">
        <f>+VLOOKUP(A72,'Change in Proportion Layers'!$AK$8:$AP$318,4,FALSE)+M72</f>
        <v>-958642</v>
      </c>
      <c r="T72" s="40">
        <f>+VLOOKUP(A72,'Change in Proportion Layers'!$AK$8:$AP$318,5,FALSE)+N72</f>
        <v>66450</v>
      </c>
      <c r="U72" s="40">
        <f>+VLOOKUP(A72,'Change in Proportion Layers'!$AK$8:$AP$318,6,FALSE)+O72</f>
        <v>72390</v>
      </c>
      <c r="W72" s="40">
        <f>('OPEB Amounts_Report'!G72-'OPEB Amounts_Report'!M72)</f>
        <v>-10944038</v>
      </c>
      <c r="X72" s="109">
        <f t="shared" si="5"/>
        <v>0</v>
      </c>
    </row>
    <row r="73" spans="1:24">
      <c r="A73" s="24">
        <v>2710</v>
      </c>
      <c r="B73" s="3" t="s">
        <v>62</v>
      </c>
      <c r="C73" s="38">
        <f t="shared" si="0"/>
        <v>-152933</v>
      </c>
      <c r="D73" s="38">
        <f t="shared" si="1"/>
        <v>-111160</v>
      </c>
      <c r="E73" s="38">
        <f t="shared" si="2"/>
        <v>-69807</v>
      </c>
      <c r="F73" s="38">
        <f t="shared" si="3"/>
        <v>-25551</v>
      </c>
      <c r="G73" s="38">
        <f t="shared" si="4"/>
        <v>-7793</v>
      </c>
      <c r="I73" s="41"/>
      <c r="K73" s="40">
        <f>ROUND(VLOOKUP($A73,'Contribution Allocation_Report'!$A$9:$D$314,4,FALSE)*$K$321,0)</f>
        <v>-44413</v>
      </c>
      <c r="L73" s="40">
        <f>ROUND(VLOOKUP($A73,'Contribution Allocation_Report'!$A$9:$D$314,4,FALSE)*$L$321,0)</f>
        <v>-29943</v>
      </c>
      <c r="M73" s="40">
        <f>ROUND(VLOOKUP($A73,'Contribution Allocation_Report'!$A$9:$D$314,4,FALSE)*$M$321,0)</f>
        <v>-9604</v>
      </c>
      <c r="N73" s="40">
        <f>ROUND(VLOOKUP($A73,'Contribution Allocation_Report'!$A$9:$D$314,4,FALSE)*$N$321,0)</f>
        <v>395</v>
      </c>
      <c r="O73" s="40">
        <f>ROUND(VLOOKUP($A73,'Contribution Allocation_Report'!$A$9:$D$314,4,FALSE)*$O$321,0)</f>
        <v>-1067</v>
      </c>
      <c r="Q73" s="40">
        <f>+VLOOKUP(A73,'Change in Proportion Layers'!$AK$8:$AP$318,2,FALSE)+K73</f>
        <v>-152933</v>
      </c>
      <c r="R73" s="40">
        <f>+VLOOKUP(A73,'Change in Proportion Layers'!$AK$8:$AP$318,3,FALSE)+L73</f>
        <v>-111160</v>
      </c>
      <c r="S73" s="40">
        <f>+VLOOKUP(A73,'Change in Proportion Layers'!$AK$8:$AP$318,4,FALSE)+M73</f>
        <v>-69807</v>
      </c>
      <c r="T73" s="40">
        <f>+VLOOKUP(A73,'Change in Proportion Layers'!$AK$8:$AP$318,5,FALSE)+N73</f>
        <v>-25551</v>
      </c>
      <c r="U73" s="40">
        <f>+VLOOKUP(A73,'Change in Proportion Layers'!$AK$8:$AP$318,6,FALSE)+O73-1</f>
        <v>-7793</v>
      </c>
      <c r="W73" s="40">
        <f>('OPEB Amounts_Report'!G73-'OPEB Amounts_Report'!M73)</f>
        <v>-367244</v>
      </c>
      <c r="X73" s="109">
        <f t="shared" si="5"/>
        <v>0</v>
      </c>
    </row>
    <row r="74" spans="1:24">
      <c r="A74" s="22">
        <v>2730</v>
      </c>
      <c r="B74" s="23" t="s">
        <v>63</v>
      </c>
      <c r="C74" s="37">
        <f t="shared" si="0"/>
        <v>-367227</v>
      </c>
      <c r="D74" s="37">
        <f t="shared" si="1"/>
        <v>-234981</v>
      </c>
      <c r="E74" s="37">
        <f t="shared" si="2"/>
        <v>-23166</v>
      </c>
      <c r="F74" s="37">
        <f t="shared" si="3"/>
        <v>82399</v>
      </c>
      <c r="G74" s="37">
        <f t="shared" si="4"/>
        <v>14225</v>
      </c>
      <c r="I74" s="41"/>
      <c r="K74" s="40">
        <f>ROUND(VLOOKUP($A74,'Contribution Allocation_Report'!$A$9:$D$314,4,FALSE)*$K$321,0)</f>
        <v>-477259</v>
      </c>
      <c r="L74" s="40">
        <f>ROUND(VLOOKUP($A74,'Contribution Allocation_Report'!$A$9:$D$314,4,FALSE)*$L$321,0)</f>
        <v>-321771</v>
      </c>
      <c r="M74" s="40">
        <f>ROUND(VLOOKUP($A74,'Contribution Allocation_Report'!$A$9:$D$314,4,FALSE)*$M$321,0)</f>
        <v>-103208</v>
      </c>
      <c r="N74" s="40">
        <f>ROUND(VLOOKUP($A74,'Contribution Allocation_Report'!$A$9:$D$314,4,FALSE)*$N$321,0)</f>
        <v>4249</v>
      </c>
      <c r="O74" s="40">
        <f>ROUND(VLOOKUP($A74,'Contribution Allocation_Report'!$A$9:$D$314,4,FALSE)*$O$321,0)+1</f>
        <v>-11466</v>
      </c>
      <c r="Q74" s="40">
        <f>+VLOOKUP(A74,'Change in Proportion Layers'!$AK$8:$AP$318,2,FALSE)+K74</f>
        <v>-367227</v>
      </c>
      <c r="R74" s="40">
        <f>+VLOOKUP(A74,'Change in Proportion Layers'!$AK$8:$AP$318,3,FALSE)+L74</f>
        <v>-234981</v>
      </c>
      <c r="S74" s="40">
        <f>+VLOOKUP(A74,'Change in Proportion Layers'!$AK$8:$AP$318,4,FALSE)+M74</f>
        <v>-23166</v>
      </c>
      <c r="T74" s="40">
        <f>+VLOOKUP(A74,'Change in Proportion Layers'!$AK$8:$AP$318,5,FALSE)+N74</f>
        <v>82399</v>
      </c>
      <c r="U74" s="40">
        <f>+VLOOKUP(A74,'Change in Proportion Layers'!$AK$8:$AP$318,6,FALSE)+O74</f>
        <v>14225</v>
      </c>
      <c r="W74" s="40">
        <f>('OPEB Amounts_Report'!G74-'OPEB Amounts_Report'!M74)</f>
        <v>-528750</v>
      </c>
      <c r="X74" s="109">
        <f t="shared" si="5"/>
        <v>0</v>
      </c>
    </row>
    <row r="75" spans="1:24">
      <c r="A75" s="24">
        <v>2950</v>
      </c>
      <c r="B75" s="3" t="s">
        <v>64</v>
      </c>
      <c r="C75" s="38">
        <f t="shared" si="0"/>
        <v>-331101</v>
      </c>
      <c r="D75" s="38">
        <f t="shared" si="1"/>
        <v>-227425</v>
      </c>
      <c r="E75" s="38">
        <f t="shared" si="2"/>
        <v>-25747</v>
      </c>
      <c r="F75" s="38">
        <f t="shared" si="3"/>
        <v>126687</v>
      </c>
      <c r="G75" s="38">
        <f t="shared" si="4"/>
        <v>49643</v>
      </c>
      <c r="I75" s="41"/>
      <c r="K75" s="40">
        <f>ROUND(VLOOKUP($A75,'Contribution Allocation_Report'!$A$9:$D$314,4,FALSE)*$K$321,0)</f>
        <v>-395005</v>
      </c>
      <c r="L75" s="40">
        <f>ROUND(VLOOKUP($A75,'Contribution Allocation_Report'!$A$9:$D$314,4,FALSE)*$L$321,0)</f>
        <v>-266314</v>
      </c>
      <c r="M75" s="40">
        <f>ROUND(VLOOKUP($A75,'Contribution Allocation_Report'!$A$9:$D$314,4,FALSE)*$M$321,0)</f>
        <v>-85420</v>
      </c>
      <c r="N75" s="40">
        <f>ROUND(VLOOKUP($A75,'Contribution Allocation_Report'!$A$9:$D$314,4,FALSE)*$N$321,0)</f>
        <v>3516</v>
      </c>
      <c r="O75" s="40">
        <f>ROUND(VLOOKUP($A75,'Contribution Allocation_Report'!$A$9:$D$314,4,FALSE)*$O$321,0)</f>
        <v>-9491</v>
      </c>
      <c r="Q75" s="40">
        <f>+VLOOKUP(A75,'Change in Proportion Layers'!$AK$8:$AP$318,2,FALSE)+K75</f>
        <v>-331101</v>
      </c>
      <c r="R75" s="40">
        <f>+VLOOKUP(A75,'Change in Proportion Layers'!$AK$8:$AP$318,3,FALSE)+L75</f>
        <v>-227425</v>
      </c>
      <c r="S75" s="40">
        <f>+VLOOKUP(A75,'Change in Proportion Layers'!$AK$8:$AP$318,4,FALSE)+M75</f>
        <v>-25747</v>
      </c>
      <c r="T75" s="40">
        <f>+VLOOKUP(A75,'Change in Proportion Layers'!$AK$8:$AP$318,5,FALSE)+N75</f>
        <v>126687</v>
      </c>
      <c r="U75" s="40">
        <f>+VLOOKUP(A75,'Change in Proportion Layers'!$AK$8:$AP$318,6,FALSE)+O75</f>
        <v>49643</v>
      </c>
      <c r="W75" s="40">
        <f>('OPEB Amounts_Report'!G75-'OPEB Amounts_Report'!M75)</f>
        <v>-407943</v>
      </c>
      <c r="X75" s="109">
        <f t="shared" ref="X75:X140" si="11">SUM(Q75:U75)-W75</f>
        <v>0</v>
      </c>
    </row>
    <row r="76" spans="1:24">
      <c r="A76" s="22">
        <v>2760</v>
      </c>
      <c r="B76" s="23" t="s">
        <v>65</v>
      </c>
      <c r="C76" s="37">
        <f t="shared" si="0"/>
        <v>-318997</v>
      </c>
      <c r="D76" s="37">
        <f t="shared" si="1"/>
        <v>-271045</v>
      </c>
      <c r="E76" s="37">
        <f t="shared" si="2"/>
        <v>-103922</v>
      </c>
      <c r="F76" s="37">
        <f t="shared" si="3"/>
        <v>-28213</v>
      </c>
      <c r="G76" s="37">
        <f t="shared" si="4"/>
        <v>-12954</v>
      </c>
      <c r="I76" s="41"/>
      <c r="K76" s="40">
        <f>ROUND(VLOOKUP($A76,'Contribution Allocation_Report'!$A$9:$D$314,4,FALSE)*$K$321,0)</f>
        <v>-269209</v>
      </c>
      <c r="L76" s="40">
        <f>ROUND(VLOOKUP($A76,'Contribution Allocation_Report'!$A$9:$D$314,4,FALSE)*$L$321,0)</f>
        <v>-181502</v>
      </c>
      <c r="M76" s="40">
        <f>ROUND(VLOOKUP($A76,'Contribution Allocation_Report'!$A$9:$D$314,4,FALSE)*$M$321,0)</f>
        <v>-58217</v>
      </c>
      <c r="N76" s="40">
        <f>ROUND(VLOOKUP($A76,'Contribution Allocation_Report'!$A$9:$D$314,4,FALSE)*$N$321,0)</f>
        <v>2397</v>
      </c>
      <c r="O76" s="40">
        <f>ROUND(VLOOKUP($A76,'Contribution Allocation_Report'!$A$9:$D$314,4,FALSE)*$O$321,0)+1</f>
        <v>-6467</v>
      </c>
      <c r="Q76" s="40">
        <f>+VLOOKUP(A76,'Change in Proportion Layers'!$AK$8:$AP$318,2,FALSE)+K76</f>
        <v>-318997</v>
      </c>
      <c r="R76" s="40">
        <f>+VLOOKUP(A76,'Change in Proportion Layers'!$AK$8:$AP$318,3,FALSE)+L76</f>
        <v>-271045</v>
      </c>
      <c r="S76" s="40">
        <f>+VLOOKUP(A76,'Change in Proportion Layers'!$AK$8:$AP$318,4,FALSE)+M76</f>
        <v>-103922</v>
      </c>
      <c r="T76" s="40">
        <f>+VLOOKUP(A76,'Change in Proportion Layers'!$AK$8:$AP$318,5,FALSE)+N76</f>
        <v>-28213</v>
      </c>
      <c r="U76" s="40">
        <f>+VLOOKUP(A76,'Change in Proportion Layers'!$AK$8:$AP$318,6,FALSE)+O76</f>
        <v>-12954</v>
      </c>
      <c r="W76" s="40">
        <f>('OPEB Amounts_Report'!G76-'OPEB Amounts_Report'!M76)</f>
        <v>-735131</v>
      </c>
      <c r="X76" s="109">
        <f t="shared" si="11"/>
        <v>0</v>
      </c>
    </row>
    <row r="77" spans="1:24">
      <c r="A77" s="24">
        <v>2780</v>
      </c>
      <c r="B77" s="3" t="s">
        <v>66</v>
      </c>
      <c r="C77" s="38">
        <f t="shared" ref="C77:C141" si="12">+Q77</f>
        <v>-30718</v>
      </c>
      <c r="D77" s="38">
        <f t="shared" ref="D77:D141" si="13">+R77</f>
        <v>-22506</v>
      </c>
      <c r="E77" s="38">
        <f t="shared" ref="E77:E141" si="14">+S77</f>
        <v>349</v>
      </c>
      <c r="F77" s="38">
        <f t="shared" ref="F77:F141" si="15">+T77</f>
        <v>8506</v>
      </c>
      <c r="G77" s="38">
        <f t="shared" ref="G77:G141" si="16">+U77</f>
        <v>4745</v>
      </c>
      <c r="I77" s="41"/>
      <c r="K77" s="40">
        <f>ROUND(VLOOKUP($A77,'Contribution Allocation_Report'!$A$9:$D$314,4,FALSE)*$K$321,0)</f>
        <v>-30123</v>
      </c>
      <c r="L77" s="40">
        <f>ROUND(VLOOKUP($A77,'Contribution Allocation_Report'!$A$9:$D$314,4,FALSE)*$L$321,0)</f>
        <v>-20309</v>
      </c>
      <c r="M77" s="40">
        <f>ROUND(VLOOKUP($A77,'Contribution Allocation_Report'!$A$9:$D$314,4,FALSE)*$M$321,0)</f>
        <v>-6514</v>
      </c>
      <c r="N77" s="40">
        <f>ROUND(VLOOKUP($A77,'Contribution Allocation_Report'!$A$9:$D$314,4,FALSE)*$N$321,0)</f>
        <v>268</v>
      </c>
      <c r="O77" s="40">
        <f>ROUND(VLOOKUP($A77,'Contribution Allocation_Report'!$A$9:$D$314,4,FALSE)*$O$321,0)+2</f>
        <v>-722</v>
      </c>
      <c r="Q77" s="40">
        <f>+VLOOKUP(A77,'Change in Proportion Layers'!$AK$8:$AP$318,2,FALSE)+K77</f>
        <v>-30718</v>
      </c>
      <c r="R77" s="40">
        <f>+VLOOKUP(A77,'Change in Proportion Layers'!$AK$8:$AP$318,3,FALSE)+L77</f>
        <v>-22506</v>
      </c>
      <c r="S77" s="40">
        <f>+VLOOKUP(A77,'Change in Proportion Layers'!$AK$8:$AP$318,4,FALSE)+M77</f>
        <v>349</v>
      </c>
      <c r="T77" s="40">
        <f>+VLOOKUP(A77,'Change in Proportion Layers'!$AK$8:$AP$318,5,FALSE)+N77</f>
        <v>8506</v>
      </c>
      <c r="U77" s="40">
        <f>+VLOOKUP(A77,'Change in Proportion Layers'!$AK$8:$AP$318,6,FALSE)+O77</f>
        <v>4745</v>
      </c>
      <c r="W77" s="40">
        <f>('OPEB Amounts_Report'!G77-'OPEB Amounts_Report'!M77)</f>
        <v>-39624</v>
      </c>
      <c r="X77" s="109">
        <f t="shared" si="11"/>
        <v>0</v>
      </c>
    </row>
    <row r="78" spans="1:24">
      <c r="A78" s="22">
        <v>2810</v>
      </c>
      <c r="B78" s="23" t="s">
        <v>67</v>
      </c>
      <c r="C78" s="37">
        <f t="shared" si="12"/>
        <v>-373388</v>
      </c>
      <c r="D78" s="37">
        <f t="shared" si="13"/>
        <v>-175124</v>
      </c>
      <c r="E78" s="37">
        <f t="shared" si="14"/>
        <v>-63139</v>
      </c>
      <c r="F78" s="37">
        <f t="shared" si="15"/>
        <v>-21132</v>
      </c>
      <c r="G78" s="37">
        <f t="shared" si="16"/>
        <v>-13411</v>
      </c>
      <c r="I78" s="41"/>
      <c r="K78" s="40">
        <f>ROUND(VLOOKUP($A78,'Contribution Allocation_Report'!$A$9:$D$314,4,FALSE)*$K$321,0)</f>
        <v>-204747</v>
      </c>
      <c r="L78" s="40">
        <f>ROUND(VLOOKUP($A78,'Contribution Allocation_Report'!$A$9:$D$314,4,FALSE)*$L$321,0)</f>
        <v>-138041</v>
      </c>
      <c r="M78" s="40">
        <f>ROUND(VLOOKUP($A78,'Contribution Allocation_Report'!$A$9:$D$314,4,FALSE)*$M$321,0)</f>
        <v>-44277</v>
      </c>
      <c r="N78" s="40">
        <f>ROUND(VLOOKUP($A78,'Contribution Allocation_Report'!$A$9:$D$314,4,FALSE)*$N$321,0)</f>
        <v>1823</v>
      </c>
      <c r="O78" s="40">
        <f>ROUND(VLOOKUP($A78,'Contribution Allocation_Report'!$A$9:$D$314,4,FALSE)*$O$321,0)</f>
        <v>-4919</v>
      </c>
      <c r="Q78" s="40">
        <f>+VLOOKUP(A78,'Change in Proportion Layers'!$AK$8:$AP$318,2,FALSE)+K78</f>
        <v>-373388</v>
      </c>
      <c r="R78" s="40">
        <f>+VLOOKUP(A78,'Change in Proportion Layers'!$AK$8:$AP$318,3,FALSE)+L78</f>
        <v>-175124</v>
      </c>
      <c r="S78" s="40">
        <f>+VLOOKUP(A78,'Change in Proportion Layers'!$AK$8:$AP$318,4,FALSE)+M78</f>
        <v>-63139</v>
      </c>
      <c r="T78" s="40">
        <f>+VLOOKUP(A78,'Change in Proportion Layers'!$AK$8:$AP$318,5,FALSE)+N78</f>
        <v>-21132</v>
      </c>
      <c r="U78" s="40">
        <f>+VLOOKUP(A78,'Change in Proportion Layers'!$AK$8:$AP$318,6,FALSE)+O78</f>
        <v>-13411</v>
      </c>
      <c r="W78" s="40">
        <f>('OPEB Amounts_Report'!G78-'OPEB Amounts_Report'!M78)</f>
        <v>-646194</v>
      </c>
      <c r="X78" s="109">
        <f t="shared" si="11"/>
        <v>0</v>
      </c>
    </row>
    <row r="79" spans="1:24">
      <c r="A79" s="24">
        <v>18056</v>
      </c>
      <c r="B79" s="3" t="s">
        <v>68</v>
      </c>
      <c r="C79" s="38">
        <f t="shared" si="12"/>
        <v>-335445</v>
      </c>
      <c r="D79" s="38">
        <f t="shared" si="13"/>
        <v>-183168</v>
      </c>
      <c r="E79" s="38">
        <f t="shared" si="14"/>
        <v>-56385</v>
      </c>
      <c r="F79" s="38">
        <f t="shared" si="15"/>
        <v>-14645</v>
      </c>
      <c r="G79" s="38">
        <f t="shared" si="16"/>
        <v>-6808</v>
      </c>
      <c r="I79" s="41"/>
      <c r="K79" s="40">
        <f>ROUND(VLOOKUP($A79,'Contribution Allocation_Report'!$A$9:$D$314,4,FALSE)*$K$321,0)</f>
        <v>-273989</v>
      </c>
      <c r="L79" s="40">
        <f>ROUND(VLOOKUP($A79,'Contribution Allocation_Report'!$A$9:$D$314,4,FALSE)*$L$321,0)</f>
        <v>-184725</v>
      </c>
      <c r="M79" s="40">
        <f>ROUND(VLOOKUP($A79,'Contribution Allocation_Report'!$A$9:$D$314,4,FALSE)*$M$321,0)</f>
        <v>-59250</v>
      </c>
      <c r="N79" s="40">
        <f>ROUND(VLOOKUP($A79,'Contribution Allocation_Report'!$A$9:$D$314,4,FALSE)*$N$321,0)</f>
        <v>2439</v>
      </c>
      <c r="O79" s="40">
        <f>ROUND(VLOOKUP($A79,'Contribution Allocation_Report'!$A$9:$D$314,4,FALSE)*$O$321,0)</f>
        <v>-6583</v>
      </c>
      <c r="Q79" s="40">
        <f>+VLOOKUP(A79,'Change in Proportion Layers'!$AK$8:$AP$318,2,FALSE)+K79</f>
        <v>-335445</v>
      </c>
      <c r="R79" s="40">
        <f>+VLOOKUP(A79,'Change in Proportion Layers'!$AK$8:$AP$318,3,FALSE)+L79</f>
        <v>-183168</v>
      </c>
      <c r="S79" s="40">
        <f>+VLOOKUP(A79,'Change in Proportion Layers'!$AK$8:$AP$318,4,FALSE)+M79</f>
        <v>-56385</v>
      </c>
      <c r="T79" s="40">
        <f>+VLOOKUP(A79,'Change in Proportion Layers'!$AK$8:$AP$318,5,FALSE)+N79</f>
        <v>-14645</v>
      </c>
      <c r="U79" s="40">
        <f>+VLOOKUP(A79,'Change in Proportion Layers'!$AK$8:$AP$318,6,FALSE)+O79</f>
        <v>-6808</v>
      </c>
      <c r="W79" s="40">
        <f>('OPEB Amounts_Report'!G79-'OPEB Amounts_Report'!M79)</f>
        <v>-596451</v>
      </c>
      <c r="X79" s="109">
        <f t="shared" si="11"/>
        <v>0</v>
      </c>
    </row>
    <row r="80" spans="1:24">
      <c r="A80" s="22">
        <v>15047</v>
      </c>
      <c r="B80" s="23" t="s">
        <v>69</v>
      </c>
      <c r="C80" s="37">
        <f t="shared" si="12"/>
        <v>-195076</v>
      </c>
      <c r="D80" s="37">
        <f t="shared" si="13"/>
        <v>-159381</v>
      </c>
      <c r="E80" s="37">
        <f t="shared" si="14"/>
        <v>-89655</v>
      </c>
      <c r="F80" s="37">
        <f t="shared" si="15"/>
        <v>-35567</v>
      </c>
      <c r="G80" s="37">
        <f t="shared" si="16"/>
        <v>-2250</v>
      </c>
      <c r="I80" s="41"/>
      <c r="K80" s="40">
        <f>ROUND(VLOOKUP($A80,'Contribution Allocation_Report'!$A$9:$D$314,4,FALSE)*$K$321,0)</f>
        <v>-252620</v>
      </c>
      <c r="L80" s="40">
        <f>ROUND(VLOOKUP($A80,'Contribution Allocation_Report'!$A$9:$D$314,4,FALSE)*$L$321,0)</f>
        <v>-170317</v>
      </c>
      <c r="M80" s="40">
        <f>ROUND(VLOOKUP($A80,'Contribution Allocation_Report'!$A$9:$D$314,4,FALSE)*$M$321,0)</f>
        <v>-54629</v>
      </c>
      <c r="N80" s="40">
        <f>ROUND(VLOOKUP($A80,'Contribution Allocation_Report'!$A$9:$D$314,4,FALSE)*$N$321,0)</f>
        <v>2249</v>
      </c>
      <c r="O80" s="40">
        <f>ROUND(VLOOKUP($A80,'Contribution Allocation_Report'!$A$9:$D$314,4,FALSE)*$O$321,0)</f>
        <v>-6070</v>
      </c>
      <c r="Q80" s="40">
        <f>+VLOOKUP(A80,'Change in Proportion Layers'!$AK$8:$AP$318,2,FALSE)+K80</f>
        <v>-195076</v>
      </c>
      <c r="R80" s="40">
        <f>+VLOOKUP(A80,'Change in Proportion Layers'!$AK$8:$AP$318,3,FALSE)+L80</f>
        <v>-159381</v>
      </c>
      <c r="S80" s="40">
        <f>+VLOOKUP(A80,'Change in Proportion Layers'!$AK$8:$AP$318,4,FALSE)+M80</f>
        <v>-89655</v>
      </c>
      <c r="T80" s="40">
        <f>+VLOOKUP(A80,'Change in Proportion Layers'!$AK$8:$AP$318,5,FALSE)+N80</f>
        <v>-35567</v>
      </c>
      <c r="U80" s="40">
        <f>+VLOOKUP(A80,'Change in Proportion Layers'!$AK$8:$AP$318,6,FALSE)+O80</f>
        <v>-2250</v>
      </c>
      <c r="W80" s="40">
        <f>('OPEB Amounts_Report'!G80-'OPEB Amounts_Report'!M80)</f>
        <v>-481929</v>
      </c>
      <c r="X80" s="109">
        <f t="shared" si="11"/>
        <v>0</v>
      </c>
    </row>
    <row r="81" spans="1:24">
      <c r="A81" s="22">
        <v>5012</v>
      </c>
      <c r="B81" s="23" t="s">
        <v>70</v>
      </c>
      <c r="C81" s="39">
        <f t="shared" si="12"/>
        <v>-3880999</v>
      </c>
      <c r="D81" s="39">
        <f t="shared" si="13"/>
        <v>-2846312</v>
      </c>
      <c r="E81" s="39">
        <f t="shared" si="14"/>
        <v>-832185</v>
      </c>
      <c r="F81" s="39">
        <f t="shared" si="15"/>
        <v>-31535</v>
      </c>
      <c r="G81" s="39">
        <f t="shared" si="16"/>
        <v>-320064</v>
      </c>
      <c r="I81" s="41"/>
      <c r="K81" s="40">
        <f>ROUND(VLOOKUP($A81,'Contribution Allocation_Report'!$A$9:$D$314,4,FALSE)*$K$321,0)</f>
        <v>-4052832</v>
      </c>
      <c r="L81" s="40">
        <f>ROUND(VLOOKUP($A81,'Contribution Allocation_Report'!$A$9:$D$314,4,FALSE)*$L$321,0)</f>
        <v>-2732440</v>
      </c>
      <c r="M81" s="40">
        <f>ROUND(VLOOKUP($A81,'Contribution Allocation_Report'!$A$9:$D$314,4,FALSE)*$M$321,0)</f>
        <v>-876431</v>
      </c>
      <c r="N81" s="40">
        <f>ROUND(VLOOKUP($A81,'Contribution Allocation_Report'!$A$9:$D$314,4,FALSE)*$N$321,0)</f>
        <v>36079</v>
      </c>
      <c r="O81" s="40">
        <f>ROUND(VLOOKUP($A81,'Contribution Allocation_Report'!$A$9:$D$314,4,FALSE)*$O$321,0)</f>
        <v>-97375</v>
      </c>
      <c r="Q81" s="40">
        <f>+VLOOKUP(A81,'Change in Proportion Layers'!$AK$8:$AP$318,2,FALSE)+K81</f>
        <v>-3880999</v>
      </c>
      <c r="R81" s="40">
        <f>+VLOOKUP(A81,'Change in Proportion Layers'!$AK$8:$AP$318,3,FALSE)+L81</f>
        <v>-2846312</v>
      </c>
      <c r="S81" s="40">
        <f>+VLOOKUP(A81,'Change in Proportion Layers'!$AK$8:$AP$318,4,FALSE)+M81</f>
        <v>-832185</v>
      </c>
      <c r="T81" s="40">
        <f>+VLOOKUP(A81,'Change in Proportion Layers'!$AK$8:$AP$318,5,FALSE)+N81</f>
        <v>-31535</v>
      </c>
      <c r="U81" s="40">
        <f>+VLOOKUP(A81,'Change in Proportion Layers'!$AK$8:$AP$318,6,FALSE)+O81</f>
        <v>-320064</v>
      </c>
      <c r="W81" s="40">
        <f>('OPEB Amounts_Report'!G81-'OPEB Amounts_Report'!M81)</f>
        <v>-7911095</v>
      </c>
      <c r="X81" s="109">
        <f t="shared" si="11"/>
        <v>0</v>
      </c>
    </row>
    <row r="82" spans="1:24">
      <c r="A82" s="24">
        <v>8024</v>
      </c>
      <c r="B82" s="3" t="s">
        <v>71</v>
      </c>
      <c r="C82" s="38">
        <f t="shared" si="12"/>
        <v>-987280</v>
      </c>
      <c r="D82" s="38">
        <f t="shared" si="13"/>
        <v>-723623</v>
      </c>
      <c r="E82" s="38">
        <f t="shared" si="14"/>
        <v>-331868</v>
      </c>
      <c r="F82" s="38">
        <f t="shared" si="15"/>
        <v>-228378</v>
      </c>
      <c r="G82" s="38">
        <f t="shared" si="16"/>
        <v>-154054</v>
      </c>
      <c r="I82" s="41"/>
      <c r="K82" s="40">
        <f>ROUND(VLOOKUP($A82,'Contribution Allocation_Report'!$A$9:$D$314,4,FALSE)*$K$321,0)</f>
        <v>-656772</v>
      </c>
      <c r="L82" s="40">
        <f>ROUND(VLOOKUP($A82,'Contribution Allocation_Report'!$A$9:$D$314,4,FALSE)*$L$321,0)</f>
        <v>-442799</v>
      </c>
      <c r="M82" s="40">
        <f>ROUND(VLOOKUP($A82,'Contribution Allocation_Report'!$A$9:$D$314,4,FALSE)*$M$321,0)</f>
        <v>-142028</v>
      </c>
      <c r="N82" s="40">
        <f>ROUND(VLOOKUP($A82,'Contribution Allocation_Report'!$A$9:$D$314,4,FALSE)*$N$321,0)</f>
        <v>5847</v>
      </c>
      <c r="O82" s="40">
        <f>ROUND(VLOOKUP($A82,'Contribution Allocation_Report'!$A$9:$D$314,4,FALSE)*$O$321,0)</f>
        <v>-15780</v>
      </c>
      <c r="Q82" s="40">
        <f>+VLOOKUP(A82,'Change in Proportion Layers'!$AK$8:$AP$318,2,FALSE)+K82</f>
        <v>-987280</v>
      </c>
      <c r="R82" s="40">
        <f>+VLOOKUP(A82,'Change in Proportion Layers'!$AK$8:$AP$318,3,FALSE)+L82+1</f>
        <v>-723623</v>
      </c>
      <c r="S82" s="40">
        <f>+VLOOKUP(A82,'Change in Proportion Layers'!$AK$8:$AP$318,4,FALSE)+M82</f>
        <v>-331868</v>
      </c>
      <c r="T82" s="40">
        <f>+VLOOKUP(A82,'Change in Proportion Layers'!$AK$8:$AP$318,5,FALSE)+N82</f>
        <v>-228378</v>
      </c>
      <c r="U82" s="40">
        <f>+VLOOKUP(A82,'Change in Proportion Layers'!$AK$8:$AP$318,6,FALSE)+O82</f>
        <v>-154054</v>
      </c>
      <c r="W82" s="40">
        <f>('OPEB Amounts_Report'!G82-'OPEB Amounts_Report'!M82)</f>
        <v>-2425203</v>
      </c>
      <c r="X82" s="109">
        <f t="shared" si="11"/>
        <v>0</v>
      </c>
    </row>
    <row r="83" spans="1:24">
      <c r="A83" s="22">
        <v>3050</v>
      </c>
      <c r="B83" s="23" t="s">
        <v>72</v>
      </c>
      <c r="C83" s="37">
        <f t="shared" si="12"/>
        <v>-278670</v>
      </c>
      <c r="D83" s="37">
        <f t="shared" si="13"/>
        <v>-198827</v>
      </c>
      <c r="E83" s="37">
        <f t="shared" si="14"/>
        <v>-59658</v>
      </c>
      <c r="F83" s="37">
        <f t="shared" si="15"/>
        <v>-39432</v>
      </c>
      <c r="G83" s="37">
        <f t="shared" si="16"/>
        <v>-36056</v>
      </c>
      <c r="I83" s="41"/>
      <c r="K83" s="40">
        <f>ROUND(VLOOKUP($A83,'Contribution Allocation_Report'!$A$9:$D$314,4,FALSE)*$K$321,0)</f>
        <v>-268830</v>
      </c>
      <c r="L83" s="40">
        <f>ROUND(VLOOKUP($A83,'Contribution Allocation_Report'!$A$9:$D$314,4,FALSE)*$L$321,0)</f>
        <v>-181247</v>
      </c>
      <c r="M83" s="40">
        <f>ROUND(VLOOKUP($A83,'Contribution Allocation_Report'!$A$9:$D$314,4,FALSE)*$M$321,0)</f>
        <v>-58135</v>
      </c>
      <c r="N83" s="40">
        <f>ROUND(VLOOKUP($A83,'Contribution Allocation_Report'!$A$9:$D$314,4,FALSE)*$N$321,0)</f>
        <v>2393</v>
      </c>
      <c r="O83" s="40">
        <f>ROUND(VLOOKUP($A83,'Contribution Allocation_Report'!$A$9:$D$314,4,FALSE)*$O$321,0)</f>
        <v>-6459</v>
      </c>
      <c r="Q83" s="40">
        <f>+VLOOKUP(A83,'Change in Proportion Layers'!$AK$8:$AP$318,2,FALSE)+K83</f>
        <v>-278670</v>
      </c>
      <c r="R83" s="40">
        <f>+VLOOKUP(A83,'Change in Proportion Layers'!$AK$8:$AP$318,3,FALSE)+L83</f>
        <v>-198827</v>
      </c>
      <c r="S83" s="40">
        <f>+VLOOKUP(A83,'Change in Proportion Layers'!$AK$8:$AP$318,4,FALSE)+M83</f>
        <v>-59658</v>
      </c>
      <c r="T83" s="40">
        <f>+VLOOKUP(A83,'Change in Proportion Layers'!$AK$8:$AP$318,5,FALSE)+N83</f>
        <v>-39432</v>
      </c>
      <c r="U83" s="40">
        <f>+VLOOKUP(A83,'Change in Proportion Layers'!$AK$8:$AP$318,6,FALSE)+O83+1</f>
        <v>-36056</v>
      </c>
      <c r="W83" s="40">
        <f>('OPEB Amounts_Report'!G83-'OPEB Amounts_Report'!M83)</f>
        <v>-612643</v>
      </c>
      <c r="X83" s="109">
        <f t="shared" si="11"/>
        <v>0</v>
      </c>
    </row>
    <row r="84" spans="1:24">
      <c r="A84" s="24">
        <v>2421</v>
      </c>
      <c r="B84" s="3" t="s">
        <v>73</v>
      </c>
      <c r="C84" s="38">
        <f t="shared" si="12"/>
        <v>-91345</v>
      </c>
      <c r="D84" s="38">
        <f t="shared" si="13"/>
        <v>-66518</v>
      </c>
      <c r="E84" s="38">
        <f t="shared" si="14"/>
        <v>-47673</v>
      </c>
      <c r="F84" s="38">
        <f t="shared" si="15"/>
        <v>-11513</v>
      </c>
      <c r="G84" s="38">
        <f t="shared" si="16"/>
        <v>3359</v>
      </c>
      <c r="I84" s="41"/>
      <c r="K84" s="40">
        <f>ROUND(VLOOKUP($A84,'Contribution Allocation_Report'!$A$9:$D$314,4,FALSE)*$K$321,0)</f>
        <v>-105847</v>
      </c>
      <c r="L84" s="40">
        <f>ROUND(VLOOKUP($A84,'Contribution Allocation_Report'!$A$9:$D$314,4,FALSE)*$L$321,0)</f>
        <v>-71362</v>
      </c>
      <c r="M84" s="40">
        <f>ROUND(VLOOKUP($A84,'Contribution Allocation_Report'!$A$9:$D$314,4,FALSE)*$M$321,0)</f>
        <v>-22890</v>
      </c>
      <c r="N84" s="40">
        <f>ROUND(VLOOKUP($A84,'Contribution Allocation_Report'!$A$9:$D$314,4,FALSE)*$N$321,0)</f>
        <v>942</v>
      </c>
      <c r="O84" s="40">
        <f>ROUND(VLOOKUP($A84,'Contribution Allocation_Report'!$A$9:$D$314,4,FALSE)*$O$321,0)</f>
        <v>-2543</v>
      </c>
      <c r="Q84" s="40">
        <f>+VLOOKUP(A84,'Change in Proportion Layers'!$AK$8:$AP$318,2,FALSE)+K84</f>
        <v>-91345</v>
      </c>
      <c r="R84" s="40">
        <f>+VLOOKUP(A84,'Change in Proportion Layers'!$AK$8:$AP$318,3,FALSE)+L84</f>
        <v>-66518</v>
      </c>
      <c r="S84" s="40">
        <f>+VLOOKUP(A84,'Change in Proportion Layers'!$AK$8:$AP$318,4,FALSE)+M84</f>
        <v>-47673</v>
      </c>
      <c r="T84" s="40">
        <f>+VLOOKUP(A84,'Change in Proportion Layers'!$AK$8:$AP$318,5,FALSE)+N84</f>
        <v>-11513</v>
      </c>
      <c r="U84" s="40">
        <f>+VLOOKUP(A84,'Change in Proportion Layers'!$AK$8:$AP$318,6,FALSE)+O84+1</f>
        <v>3359</v>
      </c>
      <c r="W84" s="40">
        <f>('OPEB Amounts_Report'!G84-'OPEB Amounts_Report'!M84)</f>
        <v>-213690</v>
      </c>
      <c r="X84" s="109">
        <f t="shared" si="11"/>
        <v>0</v>
      </c>
    </row>
    <row r="85" spans="1:24">
      <c r="A85" s="22">
        <v>26079</v>
      </c>
      <c r="B85" s="23" t="s">
        <v>74</v>
      </c>
      <c r="C85" s="37">
        <f t="shared" si="12"/>
        <v>-85460</v>
      </c>
      <c r="D85" s="37">
        <f t="shared" si="13"/>
        <v>-53944</v>
      </c>
      <c r="E85" s="37">
        <f t="shared" si="14"/>
        <v>-2816</v>
      </c>
      <c r="F85" s="37">
        <f t="shared" si="15"/>
        <v>16745</v>
      </c>
      <c r="G85" s="37">
        <f t="shared" si="16"/>
        <v>-2040</v>
      </c>
      <c r="I85" s="41"/>
      <c r="K85" s="40">
        <f>ROUND(VLOOKUP($A85,'Contribution Allocation_Report'!$A$9:$D$314,4,FALSE)*$K$321,0)</f>
        <v>-106048</v>
      </c>
      <c r="L85" s="40">
        <f>ROUND(VLOOKUP($A85,'Contribution Allocation_Report'!$A$9:$D$314,4,FALSE)*$L$321,0)</f>
        <v>-71498</v>
      </c>
      <c r="M85" s="40">
        <f>ROUND(VLOOKUP($A85,'Contribution Allocation_Report'!$A$9:$D$314,4,FALSE)*$M$321,0)</f>
        <v>-22933</v>
      </c>
      <c r="N85" s="40">
        <f>ROUND(VLOOKUP($A85,'Contribution Allocation_Report'!$A$9:$D$314,4,FALSE)*$N$321,0)</f>
        <v>944</v>
      </c>
      <c r="O85" s="40">
        <f>ROUND(VLOOKUP($A85,'Contribution Allocation_Report'!$A$9:$D$314,4,FALSE)*$O$321,0)</f>
        <v>-2548</v>
      </c>
      <c r="Q85" s="40">
        <f>+VLOOKUP(A85,'Change in Proportion Layers'!$AK$8:$AP$318,2,FALSE)+K85</f>
        <v>-85460</v>
      </c>
      <c r="R85" s="40">
        <f>+VLOOKUP(A85,'Change in Proportion Layers'!$AK$8:$AP$318,3,FALSE)+L85</f>
        <v>-53944</v>
      </c>
      <c r="S85" s="40">
        <f>+VLOOKUP(A85,'Change in Proportion Layers'!$AK$8:$AP$318,4,FALSE)+M85</f>
        <v>-2816</v>
      </c>
      <c r="T85" s="40">
        <f>+VLOOKUP(A85,'Change in Proportion Layers'!$AK$8:$AP$318,5,FALSE)+N85</f>
        <v>16745</v>
      </c>
      <c r="U85" s="40">
        <f>+VLOOKUP(A85,'Change in Proportion Layers'!$AK$8:$AP$318,6,FALSE)+O85</f>
        <v>-2040</v>
      </c>
      <c r="W85" s="40">
        <f>('OPEB Amounts_Report'!G85-'OPEB Amounts_Report'!M85)</f>
        <v>-127515</v>
      </c>
      <c r="X85" s="109">
        <f t="shared" si="11"/>
        <v>0</v>
      </c>
    </row>
    <row r="86" spans="1:24">
      <c r="A86" s="24">
        <v>2363</v>
      </c>
      <c r="B86" s="3" t="s">
        <v>75</v>
      </c>
      <c r="C86" s="38">
        <f t="shared" si="12"/>
        <v>-115339</v>
      </c>
      <c r="D86" s="38">
        <f t="shared" si="13"/>
        <v>-84608</v>
      </c>
      <c r="E86" s="38">
        <f t="shared" si="14"/>
        <v>-28626</v>
      </c>
      <c r="F86" s="38">
        <f t="shared" si="15"/>
        <v>-6938</v>
      </c>
      <c r="G86" s="38">
        <f t="shared" si="16"/>
        <v>-7156</v>
      </c>
      <c r="I86" s="41"/>
      <c r="K86" s="40">
        <f>ROUND(VLOOKUP($A86,'Contribution Allocation_Report'!$A$9:$D$314,4,FALSE)*$K$321,0)</f>
        <v>-114994</v>
      </c>
      <c r="L86" s="40">
        <f>ROUND(VLOOKUP($A86,'Contribution Allocation_Report'!$A$9:$D$314,4,FALSE)*$L$321,0)</f>
        <v>-77529</v>
      </c>
      <c r="M86" s="40">
        <f>ROUND(VLOOKUP($A86,'Contribution Allocation_Report'!$A$9:$D$314,4,FALSE)*$M$321,0)</f>
        <v>-24868</v>
      </c>
      <c r="N86" s="40">
        <f>ROUND(VLOOKUP($A86,'Contribution Allocation_Report'!$A$9:$D$314,4,FALSE)*$N$321,0)</f>
        <v>1024</v>
      </c>
      <c r="O86" s="40">
        <f>ROUND(VLOOKUP($A86,'Contribution Allocation_Report'!$A$9:$D$314,4,FALSE)*$O$321,0)</f>
        <v>-2763</v>
      </c>
      <c r="Q86" s="40">
        <f>+VLOOKUP(A86,'Change in Proportion Layers'!$AK$8:$AP$318,2,FALSE)+K86</f>
        <v>-115339</v>
      </c>
      <c r="R86" s="40">
        <f>+VLOOKUP(A86,'Change in Proportion Layers'!$AK$8:$AP$318,3,FALSE)+L86</f>
        <v>-84608</v>
      </c>
      <c r="S86" s="40">
        <f>+VLOOKUP(A86,'Change in Proportion Layers'!$AK$8:$AP$318,4,FALSE)+M86</f>
        <v>-28626</v>
      </c>
      <c r="T86" s="40">
        <f>+VLOOKUP(A86,'Change in Proportion Layers'!$AK$8:$AP$318,5,FALSE)+N86</f>
        <v>-6938</v>
      </c>
      <c r="U86" s="40">
        <f>+VLOOKUP(A86,'Change in Proportion Layers'!$AK$8:$AP$318,6,FALSE)+O86</f>
        <v>-7156</v>
      </c>
      <c r="W86" s="40">
        <f>('OPEB Amounts_Report'!G86-'OPEB Amounts_Report'!M86)</f>
        <v>-242667</v>
      </c>
      <c r="X86" s="109">
        <f t="shared" si="11"/>
        <v>0</v>
      </c>
    </row>
    <row r="87" spans="1:24">
      <c r="A87" s="22">
        <v>2364</v>
      </c>
      <c r="B87" s="23" t="s">
        <v>76</v>
      </c>
      <c r="C87" s="37">
        <f t="shared" si="12"/>
        <v>-191624</v>
      </c>
      <c r="D87" s="37">
        <f t="shared" si="13"/>
        <v>-136120</v>
      </c>
      <c r="E87" s="37">
        <f t="shared" si="14"/>
        <v>-46397</v>
      </c>
      <c r="F87" s="37">
        <f t="shared" si="15"/>
        <v>25860</v>
      </c>
      <c r="G87" s="37">
        <f t="shared" si="16"/>
        <v>-1627</v>
      </c>
      <c r="I87" s="41"/>
      <c r="K87" s="40">
        <f>ROUND(VLOOKUP($A87,'Contribution Allocation_Report'!$A$9:$D$314,4,FALSE)*$K$321,0)</f>
        <v>-399420</v>
      </c>
      <c r="L87" s="40">
        <f>ROUND(VLOOKUP($A87,'Contribution Allocation_Report'!$A$9:$D$314,4,FALSE)*$L$321,0)</f>
        <v>-269291</v>
      </c>
      <c r="M87" s="40">
        <f>ROUND(VLOOKUP($A87,'Contribution Allocation_Report'!$A$9:$D$314,4,FALSE)*$M$321,0)</f>
        <v>-86375</v>
      </c>
      <c r="N87" s="40">
        <f>ROUND(VLOOKUP($A87,'Contribution Allocation_Report'!$A$9:$D$314,4,FALSE)*$N$321,0)</f>
        <v>3556</v>
      </c>
      <c r="O87" s="40">
        <f>ROUND(VLOOKUP($A87,'Contribution Allocation_Report'!$A$9:$D$314,4,FALSE)*$O$321,0)</f>
        <v>-9597</v>
      </c>
      <c r="Q87" s="40">
        <f>+VLOOKUP(A87,'Change in Proportion Layers'!$AK$8:$AP$318,2,FALSE)+K87</f>
        <v>-191624</v>
      </c>
      <c r="R87" s="40">
        <f>+VLOOKUP(A87,'Change in Proportion Layers'!$AK$8:$AP$318,3,FALSE)+L87</f>
        <v>-136120</v>
      </c>
      <c r="S87" s="40">
        <f>+VLOOKUP(A87,'Change in Proportion Layers'!$AK$8:$AP$318,4,FALSE)+M87</f>
        <v>-46397</v>
      </c>
      <c r="T87" s="40">
        <f>+VLOOKUP(A87,'Change in Proportion Layers'!$AK$8:$AP$318,5,FALSE)+N87</f>
        <v>25860</v>
      </c>
      <c r="U87" s="40">
        <f>+VLOOKUP(A87,'Change in Proportion Layers'!$AK$8:$AP$318,6,FALSE)+O87+1</f>
        <v>-1627</v>
      </c>
      <c r="W87" s="40">
        <f>('OPEB Amounts_Report'!G87-'OPEB Amounts_Report'!M87)</f>
        <v>-349908</v>
      </c>
      <c r="X87" s="109">
        <f t="shared" si="11"/>
        <v>0</v>
      </c>
    </row>
    <row r="88" spans="1:24">
      <c r="A88" s="24">
        <v>25319</v>
      </c>
      <c r="B88" s="3" t="s">
        <v>77</v>
      </c>
      <c r="C88" s="38">
        <f t="shared" si="12"/>
        <v>-84283</v>
      </c>
      <c r="D88" s="38">
        <f t="shared" si="13"/>
        <v>-72151</v>
      </c>
      <c r="E88" s="38">
        <f t="shared" si="14"/>
        <v>-26950</v>
      </c>
      <c r="F88" s="38">
        <f t="shared" si="15"/>
        <v>14374</v>
      </c>
      <c r="G88" s="38">
        <f t="shared" si="16"/>
        <v>10327</v>
      </c>
      <c r="I88" s="41"/>
      <c r="K88" s="40">
        <f>ROUND(VLOOKUP($A88,'Contribution Allocation_Report'!$A$9:$D$314,4,FALSE)*$K$321,0)</f>
        <v>-92340</v>
      </c>
      <c r="L88" s="40">
        <f>ROUND(VLOOKUP($A88,'Contribution Allocation_Report'!$A$9:$D$314,4,FALSE)*$L$321,0)</f>
        <v>-62256</v>
      </c>
      <c r="M88" s="40">
        <f>ROUND(VLOOKUP($A88,'Contribution Allocation_Report'!$A$9:$D$314,4,FALSE)*$M$321,0)</f>
        <v>-19969</v>
      </c>
      <c r="N88" s="40">
        <f>ROUND(VLOOKUP($A88,'Contribution Allocation_Report'!$A$9:$D$314,4,FALSE)*$N$321,0)</f>
        <v>822</v>
      </c>
      <c r="O88" s="40">
        <f>ROUND(VLOOKUP($A88,'Contribution Allocation_Report'!$A$9:$D$314,4,FALSE)*$O$321,0)</f>
        <v>-2219</v>
      </c>
      <c r="Q88" s="40">
        <f>+VLOOKUP(A88,'Change in Proportion Layers'!$AK$8:$AP$318,2,FALSE)+K88</f>
        <v>-84283</v>
      </c>
      <c r="R88" s="40">
        <f>+VLOOKUP(A88,'Change in Proportion Layers'!$AK$8:$AP$318,3,FALSE)+L88</f>
        <v>-72151</v>
      </c>
      <c r="S88" s="40">
        <f>+VLOOKUP(A88,'Change in Proportion Layers'!$AK$8:$AP$318,4,FALSE)+M88</f>
        <v>-26950</v>
      </c>
      <c r="T88" s="40">
        <f>+VLOOKUP(A88,'Change in Proportion Layers'!$AK$8:$AP$318,5,FALSE)+N88</f>
        <v>14374</v>
      </c>
      <c r="U88" s="40">
        <f>+VLOOKUP(A88,'Change in Proportion Layers'!$AK$8:$AP$318,6,FALSE)+O88</f>
        <v>10327</v>
      </c>
      <c r="W88" s="40">
        <f>('OPEB Amounts_Report'!G88-'OPEB Amounts_Report'!M88)</f>
        <v>-158683</v>
      </c>
      <c r="X88" s="109">
        <f t="shared" si="11"/>
        <v>0</v>
      </c>
    </row>
    <row r="89" spans="1:24">
      <c r="A89" s="22">
        <v>29087</v>
      </c>
      <c r="B89" s="23" t="s">
        <v>78</v>
      </c>
      <c r="C89" s="37">
        <f t="shared" si="12"/>
        <v>-454130</v>
      </c>
      <c r="D89" s="37">
        <f t="shared" si="13"/>
        <v>-170387</v>
      </c>
      <c r="E89" s="37">
        <f t="shared" si="14"/>
        <v>75760</v>
      </c>
      <c r="F89" s="37">
        <f t="shared" si="15"/>
        <v>76558</v>
      </c>
      <c r="G89" s="37">
        <f t="shared" si="16"/>
        <v>-17969</v>
      </c>
      <c r="I89" s="41"/>
      <c r="K89" s="40">
        <f>ROUND(VLOOKUP($A89,'Contribution Allocation_Report'!$A$9:$D$314,4,FALSE)*$K$321,0)</f>
        <v>-783970</v>
      </c>
      <c r="L89" s="40">
        <f>ROUND(VLOOKUP($A89,'Contribution Allocation_Report'!$A$9:$D$314,4,FALSE)*$L$321,0)</f>
        <v>-528556</v>
      </c>
      <c r="M89" s="40">
        <f>ROUND(VLOOKUP($A89,'Contribution Allocation_Report'!$A$9:$D$314,4,FALSE)*$M$321,0)</f>
        <v>-169535</v>
      </c>
      <c r="N89" s="40">
        <f>ROUND(VLOOKUP($A89,'Contribution Allocation_Report'!$A$9:$D$314,4,FALSE)*$N$321,0)</f>
        <v>6979</v>
      </c>
      <c r="O89" s="40">
        <f>ROUND(VLOOKUP($A89,'Contribution Allocation_Report'!$A$9:$D$314,4,FALSE)*$O$321,0)</f>
        <v>-18836</v>
      </c>
      <c r="Q89" s="40">
        <f>+VLOOKUP(A89,'Change in Proportion Layers'!$AK$8:$AP$318,2,FALSE)+K89</f>
        <v>-454130</v>
      </c>
      <c r="R89" s="40">
        <f>+VLOOKUP(A89,'Change in Proportion Layers'!$AK$8:$AP$318,3,FALSE)+L89</f>
        <v>-170387</v>
      </c>
      <c r="S89" s="40">
        <f>+VLOOKUP(A89,'Change in Proportion Layers'!$AK$8:$AP$318,4,FALSE)+M89</f>
        <v>75760</v>
      </c>
      <c r="T89" s="40">
        <f>+VLOOKUP(A89,'Change in Proportion Layers'!$AK$8:$AP$318,5,FALSE)+N89</f>
        <v>76558</v>
      </c>
      <c r="U89" s="40">
        <f>+VLOOKUP(A89,'Change in Proportion Layers'!$AK$8:$AP$318,6,FALSE)+O89</f>
        <v>-17969</v>
      </c>
      <c r="W89" s="40">
        <f>('OPEB Amounts_Report'!G89-'OPEB Amounts_Report'!M89)</f>
        <v>-490168</v>
      </c>
      <c r="X89" s="109">
        <f t="shared" si="11"/>
        <v>0</v>
      </c>
    </row>
    <row r="90" spans="1:24">
      <c r="A90" s="24">
        <v>3060</v>
      </c>
      <c r="B90" s="3" t="s">
        <v>79</v>
      </c>
      <c r="C90" s="38">
        <f t="shared" si="12"/>
        <v>-599893</v>
      </c>
      <c r="D90" s="38">
        <f t="shared" si="13"/>
        <v>-359292</v>
      </c>
      <c r="E90" s="38">
        <f t="shared" si="14"/>
        <v>-117166</v>
      </c>
      <c r="F90" s="38">
        <f t="shared" si="15"/>
        <v>-6621</v>
      </c>
      <c r="G90" s="38">
        <f t="shared" si="16"/>
        <v>-15442</v>
      </c>
      <c r="I90" s="41"/>
      <c r="K90" s="40">
        <f>ROUND(VLOOKUP($A90,'Contribution Allocation_Report'!$A$9:$D$314,4,FALSE)*$K$321,0)</f>
        <v>-449762</v>
      </c>
      <c r="L90" s="40">
        <f>ROUND(VLOOKUP($A90,'Contribution Allocation_Report'!$A$9:$D$314,4,FALSE)*$L$321,0)</f>
        <v>-303232</v>
      </c>
      <c r="M90" s="40">
        <f>ROUND(VLOOKUP($A90,'Contribution Allocation_Report'!$A$9:$D$314,4,FALSE)*$M$321,0)</f>
        <v>-97262</v>
      </c>
      <c r="N90" s="40">
        <f>ROUND(VLOOKUP($A90,'Contribution Allocation_Report'!$A$9:$D$314,4,FALSE)*$N$321,0)</f>
        <v>4004</v>
      </c>
      <c r="O90" s="40">
        <f>ROUND(VLOOKUP($A90,'Contribution Allocation_Report'!$A$9:$D$314,4,FALSE)*$O$321,0)</f>
        <v>-10806</v>
      </c>
      <c r="Q90" s="40">
        <f>+VLOOKUP(A90,'Change in Proportion Layers'!$AK$8:$AP$318,2,FALSE)+K90</f>
        <v>-599893</v>
      </c>
      <c r="R90" s="40">
        <f>+VLOOKUP(A90,'Change in Proportion Layers'!$AK$8:$AP$318,3,FALSE)+L90</f>
        <v>-359292</v>
      </c>
      <c r="S90" s="40">
        <f>+VLOOKUP(A90,'Change in Proportion Layers'!$AK$8:$AP$318,4,FALSE)+M90</f>
        <v>-117166</v>
      </c>
      <c r="T90" s="40">
        <f>+VLOOKUP(A90,'Change in Proportion Layers'!$AK$8:$AP$318,5,FALSE)+N90</f>
        <v>-6621</v>
      </c>
      <c r="U90" s="40">
        <f>+VLOOKUP(A90,'Change in Proportion Layers'!$AK$8:$AP$318,6,FALSE)+O90</f>
        <v>-15442</v>
      </c>
      <c r="W90" s="40">
        <f>('OPEB Amounts_Report'!G90-'OPEB Amounts_Report'!M90)</f>
        <v>-1098414</v>
      </c>
      <c r="X90" s="109">
        <f t="shared" si="11"/>
        <v>0</v>
      </c>
    </row>
    <row r="91" spans="1:24">
      <c r="A91" s="22">
        <v>19301</v>
      </c>
      <c r="B91" s="23" t="s">
        <v>80</v>
      </c>
      <c r="C91" s="37">
        <f t="shared" si="12"/>
        <v>-61920</v>
      </c>
      <c r="D91" s="37">
        <f t="shared" si="13"/>
        <v>-37987</v>
      </c>
      <c r="E91" s="37">
        <f t="shared" si="14"/>
        <v>-19769</v>
      </c>
      <c r="F91" s="37">
        <f t="shared" si="15"/>
        <v>-5511</v>
      </c>
      <c r="G91" s="37">
        <f t="shared" si="16"/>
        <v>-9464</v>
      </c>
      <c r="I91" s="41"/>
      <c r="K91" s="40">
        <f>ROUND(VLOOKUP($A91,'Contribution Allocation_Report'!$A$9:$D$314,4,FALSE)*$K$321,0)</f>
        <v>-81162</v>
      </c>
      <c r="L91" s="40">
        <f>ROUND(VLOOKUP($A91,'Contribution Allocation_Report'!$A$9:$D$314,4,FALSE)*$L$321,0)</f>
        <v>-54720</v>
      </c>
      <c r="M91" s="40">
        <f>ROUND(VLOOKUP($A91,'Contribution Allocation_Report'!$A$9:$D$314,4,FALSE)*$M$321,0)</f>
        <v>-17551</v>
      </c>
      <c r="N91" s="40">
        <f>ROUND(VLOOKUP($A91,'Contribution Allocation_Report'!$A$9:$D$314,4,FALSE)*$N$321,0)</f>
        <v>723</v>
      </c>
      <c r="O91" s="40">
        <f>ROUND(VLOOKUP($A91,'Contribution Allocation_Report'!$A$9:$D$314,4,FALSE)*$O$321,0)</f>
        <v>-1950</v>
      </c>
      <c r="Q91" s="40">
        <f>+VLOOKUP(A91,'Change in Proportion Layers'!$AK$8:$AP$318,2,FALSE)+K91</f>
        <v>-61920</v>
      </c>
      <c r="R91" s="40">
        <f>+VLOOKUP(A91,'Change in Proportion Layers'!$AK$8:$AP$318,3,FALSE)+L91</f>
        <v>-37987</v>
      </c>
      <c r="S91" s="40">
        <f>+VLOOKUP(A91,'Change in Proportion Layers'!$AK$8:$AP$318,4,FALSE)+M91</f>
        <v>-19769</v>
      </c>
      <c r="T91" s="40">
        <f>+VLOOKUP(A91,'Change in Proportion Layers'!$AK$8:$AP$318,5,FALSE)+N91</f>
        <v>-5511</v>
      </c>
      <c r="U91" s="40">
        <f>+VLOOKUP(A91,'Change in Proportion Layers'!$AK$8:$AP$318,6,FALSE)+O91-1</f>
        <v>-9464</v>
      </c>
      <c r="W91" s="40">
        <f>('OPEB Amounts_Report'!G91-'OPEB Amounts_Report'!M91)</f>
        <v>-134651</v>
      </c>
      <c r="X91" s="109">
        <f t="shared" si="11"/>
        <v>0</v>
      </c>
    </row>
    <row r="92" spans="1:24">
      <c r="A92" s="24">
        <v>19059</v>
      </c>
      <c r="B92" s="3" t="s">
        <v>81</v>
      </c>
      <c r="C92" s="38">
        <f t="shared" si="12"/>
        <v>-2829780</v>
      </c>
      <c r="D92" s="38">
        <f t="shared" si="13"/>
        <v>-1895838</v>
      </c>
      <c r="E92" s="38">
        <f t="shared" si="14"/>
        <v>-1000174</v>
      </c>
      <c r="F92" s="38">
        <f t="shared" si="15"/>
        <v>-230046</v>
      </c>
      <c r="G92" s="38">
        <f t="shared" si="16"/>
        <v>-126124</v>
      </c>
      <c r="I92" s="41"/>
      <c r="K92" s="40">
        <f>ROUND(VLOOKUP($A92,'Contribution Allocation_Report'!$A$9:$D$314,4,FALSE)*$K$321,0)</f>
        <v>-2797683</v>
      </c>
      <c r="L92" s="40">
        <f>ROUND(VLOOKUP($A92,'Contribution Allocation_Report'!$A$9:$D$314,4,FALSE)*$L$321,0)</f>
        <v>-1886212</v>
      </c>
      <c r="M92" s="40">
        <f>ROUND(VLOOKUP($A92,'Contribution Allocation_Report'!$A$9:$D$314,4,FALSE)*$M$321,0)</f>
        <v>-605003</v>
      </c>
      <c r="N92" s="40">
        <f>ROUND(VLOOKUP($A92,'Contribution Allocation_Report'!$A$9:$D$314,4,FALSE)*$N$321,0)</f>
        <v>24905</v>
      </c>
      <c r="O92" s="40">
        <f>ROUND(VLOOKUP($A92,'Contribution Allocation_Report'!$A$9:$D$314,4,FALSE)*$O$321,0)</f>
        <v>-67219</v>
      </c>
      <c r="Q92" s="40">
        <f>+VLOOKUP(A92,'Change in Proportion Layers'!$AK$8:$AP$318,2,FALSE)+K92</f>
        <v>-2829780</v>
      </c>
      <c r="R92" s="40">
        <f>+VLOOKUP(A92,'Change in Proportion Layers'!$AK$8:$AP$318,3,FALSE)+L92</f>
        <v>-1895838</v>
      </c>
      <c r="S92" s="40">
        <f>+VLOOKUP(A92,'Change in Proportion Layers'!$AK$8:$AP$318,4,FALSE)+M92</f>
        <v>-1000174</v>
      </c>
      <c r="T92" s="40">
        <f>+VLOOKUP(A92,'Change in Proportion Layers'!$AK$8:$AP$318,5,FALSE)+N92</f>
        <v>-230046</v>
      </c>
      <c r="U92" s="40">
        <f>+VLOOKUP(A92,'Change in Proportion Layers'!$AK$8:$AP$318,6,FALSE)+O92</f>
        <v>-126124</v>
      </c>
      <c r="W92" s="40">
        <f>('OPEB Amounts_Report'!G92-'OPEB Amounts_Report'!M92)</f>
        <v>-6081962</v>
      </c>
      <c r="X92" s="109">
        <f t="shared" si="11"/>
        <v>0</v>
      </c>
    </row>
    <row r="93" spans="1:24">
      <c r="A93" s="22">
        <v>18057</v>
      </c>
      <c r="B93" s="23" t="s">
        <v>82</v>
      </c>
      <c r="C93" s="37">
        <f t="shared" si="12"/>
        <v>-92708</v>
      </c>
      <c r="D93" s="37">
        <f t="shared" si="13"/>
        <v>-57197</v>
      </c>
      <c r="E93" s="37">
        <f t="shared" si="14"/>
        <v>-10571</v>
      </c>
      <c r="F93" s="37">
        <f t="shared" si="15"/>
        <v>8525</v>
      </c>
      <c r="G93" s="37">
        <f t="shared" si="16"/>
        <v>-4087</v>
      </c>
      <c r="I93" s="41"/>
      <c r="K93" s="40">
        <f>ROUND(VLOOKUP($A93,'Contribution Allocation_Report'!$A$9:$D$314,4,FALSE)*$K$321,0)</f>
        <v>-120020</v>
      </c>
      <c r="L93" s="40">
        <f>ROUND(VLOOKUP($A93,'Contribution Allocation_Report'!$A$9:$D$314,4,FALSE)*$L$321,0)</f>
        <v>-80918</v>
      </c>
      <c r="M93" s="40">
        <f>ROUND(VLOOKUP($A93,'Contribution Allocation_Report'!$A$9:$D$314,4,FALSE)*$M$321,0)</f>
        <v>-25954</v>
      </c>
      <c r="N93" s="40">
        <f>ROUND(VLOOKUP($A93,'Contribution Allocation_Report'!$A$9:$D$314,4,FALSE)*$N$321,0)</f>
        <v>1068</v>
      </c>
      <c r="O93" s="40">
        <f>ROUND(VLOOKUP($A93,'Contribution Allocation_Report'!$A$9:$D$314,4,FALSE)*$O$321,0)</f>
        <v>-2884</v>
      </c>
      <c r="Q93" s="40">
        <f>+VLOOKUP(A93,'Change in Proportion Layers'!$AK$8:$AP$318,2,FALSE)+K93</f>
        <v>-92708</v>
      </c>
      <c r="R93" s="40">
        <f>+VLOOKUP(A93,'Change in Proportion Layers'!$AK$8:$AP$318,3,FALSE)+L93</f>
        <v>-57197</v>
      </c>
      <c r="S93" s="40">
        <f>+VLOOKUP(A93,'Change in Proportion Layers'!$AK$8:$AP$318,4,FALSE)+M93</f>
        <v>-10571</v>
      </c>
      <c r="T93" s="40">
        <f>+VLOOKUP(A93,'Change in Proportion Layers'!$AK$8:$AP$318,5,FALSE)+N93</f>
        <v>8525</v>
      </c>
      <c r="U93" s="40">
        <f>+VLOOKUP(A93,'Change in Proportion Layers'!$AK$8:$AP$318,6,FALSE)+O93-1</f>
        <v>-4087</v>
      </c>
      <c r="W93" s="40">
        <f>('OPEB Amounts_Report'!G93-'OPEB Amounts_Report'!M93)</f>
        <v>-156038</v>
      </c>
      <c r="X93" s="109">
        <f t="shared" si="11"/>
        <v>0</v>
      </c>
    </row>
    <row r="94" spans="1:24">
      <c r="A94" s="24">
        <v>4008</v>
      </c>
      <c r="B94" s="3" t="s">
        <v>83</v>
      </c>
      <c r="C94" s="38">
        <f t="shared" si="12"/>
        <v>-445227</v>
      </c>
      <c r="D94" s="38">
        <f t="shared" si="13"/>
        <v>-317106</v>
      </c>
      <c r="E94" s="38">
        <f t="shared" si="14"/>
        <v>-88459</v>
      </c>
      <c r="F94" s="38">
        <f t="shared" si="15"/>
        <v>-62452</v>
      </c>
      <c r="G94" s="38">
        <f t="shared" si="16"/>
        <v>-26030</v>
      </c>
      <c r="I94" s="41"/>
      <c r="K94" s="40">
        <f>ROUND(VLOOKUP($A94,'Contribution Allocation_Report'!$A$9:$D$314,4,FALSE)*$K$321,0)</f>
        <v>-462087</v>
      </c>
      <c r="L94" s="40">
        <f>ROUND(VLOOKUP($A94,'Contribution Allocation_Report'!$A$9:$D$314,4,FALSE)*$L$321,0)</f>
        <v>-311541</v>
      </c>
      <c r="M94" s="40">
        <f>ROUND(VLOOKUP($A94,'Contribution Allocation_Report'!$A$9:$D$314,4,FALSE)*$M$321,0)</f>
        <v>-99927</v>
      </c>
      <c r="N94" s="40">
        <f>ROUND(VLOOKUP($A94,'Contribution Allocation_Report'!$A$9:$D$314,4,FALSE)*$N$321,0)</f>
        <v>4114</v>
      </c>
      <c r="O94" s="40">
        <f>ROUND(VLOOKUP($A94,'Contribution Allocation_Report'!$A$9:$D$314,4,FALSE)*$O$321,0)</f>
        <v>-11102</v>
      </c>
      <c r="Q94" s="40">
        <f>+VLOOKUP(A94,'Change in Proportion Layers'!$AK$8:$AP$318,2,FALSE)+K94</f>
        <v>-445227</v>
      </c>
      <c r="R94" s="40">
        <f>+VLOOKUP(A94,'Change in Proportion Layers'!$AK$8:$AP$318,3,FALSE)+L94</f>
        <v>-317106</v>
      </c>
      <c r="S94" s="40">
        <f>+VLOOKUP(A94,'Change in Proportion Layers'!$AK$8:$AP$318,4,FALSE)+M94</f>
        <v>-88459</v>
      </c>
      <c r="T94" s="40">
        <f>+VLOOKUP(A94,'Change in Proportion Layers'!$AK$8:$AP$318,5,FALSE)+N94</f>
        <v>-62452</v>
      </c>
      <c r="U94" s="40">
        <f>+VLOOKUP(A94,'Change in Proportion Layers'!$AK$8:$AP$318,6,FALSE)+O94</f>
        <v>-26030</v>
      </c>
      <c r="W94" s="40">
        <f>('OPEB Amounts_Report'!G94-'OPEB Amounts_Report'!M94)</f>
        <v>-939274</v>
      </c>
      <c r="X94" s="109">
        <f t="shared" si="11"/>
        <v>0</v>
      </c>
    </row>
    <row r="95" spans="1:24">
      <c r="A95" s="22">
        <v>2350</v>
      </c>
      <c r="B95" s="23" t="s">
        <v>84</v>
      </c>
      <c r="C95" s="37">
        <f t="shared" si="12"/>
        <v>-129131</v>
      </c>
      <c r="D95" s="37">
        <f t="shared" si="13"/>
        <v>-112658</v>
      </c>
      <c r="E95" s="37">
        <f t="shared" si="14"/>
        <v>-61229</v>
      </c>
      <c r="F95" s="37">
        <f t="shared" si="15"/>
        <v>-40476</v>
      </c>
      <c r="G95" s="37">
        <f t="shared" si="16"/>
        <v>-22469</v>
      </c>
      <c r="I95" s="41"/>
      <c r="K95" s="40">
        <f>ROUND(VLOOKUP($A95,'Contribution Allocation_Report'!$A$9:$D$314,4,FALSE)*$K$321,0)</f>
        <v>-136177</v>
      </c>
      <c r="L95" s="40">
        <f>ROUND(VLOOKUP($A95,'Contribution Allocation_Report'!$A$9:$D$314,4,FALSE)*$L$321,0)</f>
        <v>-91811</v>
      </c>
      <c r="M95" s="40">
        <f>ROUND(VLOOKUP($A95,'Contribution Allocation_Report'!$A$9:$D$314,4,FALSE)*$M$321,0)</f>
        <v>-29448</v>
      </c>
      <c r="N95" s="40">
        <f>ROUND(VLOOKUP($A95,'Contribution Allocation_Report'!$A$9:$D$314,4,FALSE)*$N$321,0)</f>
        <v>1212</v>
      </c>
      <c r="O95" s="40">
        <f>ROUND(VLOOKUP($A95,'Contribution Allocation_Report'!$A$9:$D$314,4,FALSE)*$O$321,0)</f>
        <v>-3272</v>
      </c>
      <c r="Q95" s="40">
        <f>+VLOOKUP(A95,'Change in Proportion Layers'!$AK$8:$AP$318,2,FALSE)+K95</f>
        <v>-129131</v>
      </c>
      <c r="R95" s="40">
        <f>+VLOOKUP(A95,'Change in Proportion Layers'!$AK$8:$AP$318,3,FALSE)+L95</f>
        <v>-112658</v>
      </c>
      <c r="S95" s="40">
        <f>+VLOOKUP(A95,'Change in Proportion Layers'!$AK$8:$AP$318,4,FALSE)+M95</f>
        <v>-61229</v>
      </c>
      <c r="T95" s="40">
        <f>+VLOOKUP(A95,'Change in Proportion Layers'!$AK$8:$AP$318,5,FALSE)+N95</f>
        <v>-40476</v>
      </c>
      <c r="U95" s="40">
        <f>+VLOOKUP(A95,'Change in Proportion Layers'!$AK$8:$AP$318,6,FALSE)+O95-1</f>
        <v>-22469</v>
      </c>
      <c r="W95" s="40">
        <f>('OPEB Amounts_Report'!G95-'OPEB Amounts_Report'!M95)</f>
        <v>-365963</v>
      </c>
      <c r="X95" s="109">
        <f t="shared" si="11"/>
        <v>0</v>
      </c>
    </row>
    <row r="96" spans="1:24">
      <c r="A96" s="24">
        <v>11117</v>
      </c>
      <c r="B96" s="3" t="s">
        <v>85</v>
      </c>
      <c r="C96" s="38">
        <f t="shared" si="12"/>
        <v>-182818</v>
      </c>
      <c r="D96" s="38">
        <f t="shared" si="13"/>
        <v>-135491</v>
      </c>
      <c r="E96" s="38">
        <f t="shared" si="14"/>
        <v>-40897</v>
      </c>
      <c r="F96" s="38">
        <f t="shared" si="15"/>
        <v>-721</v>
      </c>
      <c r="G96" s="38">
        <f t="shared" si="16"/>
        <v>4198</v>
      </c>
      <c r="I96" s="41"/>
      <c r="K96" s="40">
        <f>ROUND(VLOOKUP($A96,'Contribution Allocation_Report'!$A$9:$D$314,4,FALSE)*$K$321,0)</f>
        <v>-159719</v>
      </c>
      <c r="L96" s="40">
        <f>ROUND(VLOOKUP($A96,'Contribution Allocation_Report'!$A$9:$D$314,4,FALSE)*$L$321,0)</f>
        <v>-107683</v>
      </c>
      <c r="M96" s="40">
        <f>ROUND(VLOOKUP($A96,'Contribution Allocation_Report'!$A$9:$D$314,4,FALSE)*$M$321,0)</f>
        <v>-34539</v>
      </c>
      <c r="N96" s="40">
        <f>ROUND(VLOOKUP($A96,'Contribution Allocation_Report'!$A$9:$D$314,4,FALSE)*$N$321,0)</f>
        <v>1422</v>
      </c>
      <c r="O96" s="40">
        <f>ROUND(VLOOKUP($A96,'Contribution Allocation_Report'!$A$9:$D$314,4,FALSE)*$O$321,0)</f>
        <v>-3837</v>
      </c>
      <c r="Q96" s="40">
        <f>+VLOOKUP(A96,'Change in Proportion Layers'!$AK$8:$AP$318,2,FALSE)+K96</f>
        <v>-182818</v>
      </c>
      <c r="R96" s="40">
        <f>+VLOOKUP(A96,'Change in Proportion Layers'!$AK$8:$AP$318,3,FALSE)+L96</f>
        <v>-135491</v>
      </c>
      <c r="S96" s="40">
        <f>+VLOOKUP(A96,'Change in Proportion Layers'!$AK$8:$AP$318,4,FALSE)+M96</f>
        <v>-40897</v>
      </c>
      <c r="T96" s="40">
        <f>+VLOOKUP(A96,'Change in Proportion Layers'!$AK$8:$AP$318,5,FALSE)+N96</f>
        <v>-721</v>
      </c>
      <c r="U96" s="40">
        <f>+VLOOKUP(A96,'Change in Proportion Layers'!$AK$8:$AP$318,6,FALSE)+O96</f>
        <v>4198</v>
      </c>
      <c r="W96" s="40">
        <f>('OPEB Amounts_Report'!G96-'OPEB Amounts_Report'!M96)</f>
        <v>-355729</v>
      </c>
      <c r="X96" s="109">
        <f t="shared" si="11"/>
        <v>0</v>
      </c>
    </row>
    <row r="97" spans="1:24">
      <c r="A97" s="22">
        <v>16359</v>
      </c>
      <c r="B97" s="23" t="s">
        <v>86</v>
      </c>
      <c r="C97" s="37">
        <f t="shared" si="12"/>
        <v>-13362</v>
      </c>
      <c r="D97" s="37">
        <f t="shared" si="13"/>
        <v>-13001</v>
      </c>
      <c r="E97" s="37">
        <f t="shared" si="14"/>
        <v>-6468</v>
      </c>
      <c r="F97" s="37">
        <f t="shared" si="15"/>
        <v>-16609</v>
      </c>
      <c r="G97" s="37">
        <f t="shared" si="16"/>
        <v>-2582</v>
      </c>
      <c r="I97" s="41"/>
      <c r="K97" s="40">
        <f>ROUND(VLOOKUP($A97,'Contribution Allocation_Report'!$A$9:$D$314,4,FALSE)*$K$321,0)</f>
        <v>-30696</v>
      </c>
      <c r="L97" s="40">
        <f>ROUND(VLOOKUP($A97,'Contribution Allocation_Report'!$A$9:$D$314,4,FALSE)*$L$321,0)</f>
        <v>-20695</v>
      </c>
      <c r="M97" s="40">
        <f>ROUND(VLOOKUP($A97,'Contribution Allocation_Report'!$A$9:$D$314,4,FALSE)*$M$321,0)</f>
        <v>-6638</v>
      </c>
      <c r="N97" s="40">
        <f>ROUND(VLOOKUP($A97,'Contribution Allocation_Report'!$A$9:$D$314,4,FALSE)*$N$321,0)</f>
        <v>273</v>
      </c>
      <c r="O97" s="40">
        <f>ROUND(VLOOKUP($A97,'Contribution Allocation_Report'!$A$9:$D$314,4,FALSE)*$O$321,0)</f>
        <v>-738</v>
      </c>
      <c r="Q97" s="40">
        <f>+VLOOKUP(A97,'Change in Proportion Layers'!$AK$8:$AP$318,2,FALSE)+K97</f>
        <v>-13362</v>
      </c>
      <c r="R97" s="40">
        <f>+VLOOKUP(A97,'Change in Proportion Layers'!$AK$8:$AP$318,3,FALSE)+L97</f>
        <v>-13001</v>
      </c>
      <c r="S97" s="40">
        <f>+VLOOKUP(A97,'Change in Proportion Layers'!$AK$8:$AP$318,4,FALSE)+M97</f>
        <v>-6468</v>
      </c>
      <c r="T97" s="40">
        <f>+VLOOKUP(A97,'Change in Proportion Layers'!$AK$8:$AP$318,5,FALSE)+N97</f>
        <v>-16609</v>
      </c>
      <c r="U97" s="40">
        <f>+VLOOKUP(A97,'Change in Proportion Layers'!$AK$8:$AP$318,6,FALSE)+O97+1</f>
        <v>-2582</v>
      </c>
      <c r="W97" s="40">
        <f>('OPEB Amounts_Report'!G97-'OPEB Amounts_Report'!M97)</f>
        <v>-52022</v>
      </c>
      <c r="X97" s="109">
        <f t="shared" si="11"/>
        <v>0</v>
      </c>
    </row>
    <row r="98" spans="1:24">
      <c r="A98" s="24">
        <v>17115</v>
      </c>
      <c r="B98" s="3" t="s">
        <v>87</v>
      </c>
      <c r="C98" s="38">
        <f t="shared" si="12"/>
        <v>-525632</v>
      </c>
      <c r="D98" s="38">
        <f t="shared" si="13"/>
        <v>-244173</v>
      </c>
      <c r="E98" s="38">
        <f t="shared" si="14"/>
        <v>-50135</v>
      </c>
      <c r="F98" s="38">
        <f t="shared" si="15"/>
        <v>23562</v>
      </c>
      <c r="G98" s="38">
        <f t="shared" si="16"/>
        <v>-8415</v>
      </c>
      <c r="I98" s="41"/>
      <c r="K98" s="40">
        <f>ROUND(VLOOKUP($A98,'Contribution Allocation_Report'!$A$9:$D$314,4,FALSE)*$K$321,0)</f>
        <v>-588940</v>
      </c>
      <c r="L98" s="40">
        <f>ROUND(VLOOKUP($A98,'Contribution Allocation_Report'!$A$9:$D$314,4,FALSE)*$L$321,0)</f>
        <v>-397066</v>
      </c>
      <c r="M98" s="40">
        <f>ROUND(VLOOKUP($A98,'Contribution Allocation_Report'!$A$9:$D$314,4,FALSE)*$M$321,0)</f>
        <v>-127359</v>
      </c>
      <c r="N98" s="40">
        <f>ROUND(VLOOKUP($A98,'Contribution Allocation_Report'!$A$9:$D$314,4,FALSE)*$N$321,0)</f>
        <v>5243</v>
      </c>
      <c r="O98" s="40">
        <f>ROUND(VLOOKUP($A98,'Contribution Allocation_Report'!$A$9:$D$314,4,FALSE)*$O$321,0)</f>
        <v>-14150</v>
      </c>
      <c r="Q98" s="40">
        <f>+VLOOKUP(A98,'Change in Proportion Layers'!$AK$8:$AP$318,2,FALSE)+K98</f>
        <v>-525632</v>
      </c>
      <c r="R98" s="40">
        <f>+VLOOKUP(A98,'Change in Proportion Layers'!$AK$8:$AP$318,3,FALSE)+L98</f>
        <v>-244173</v>
      </c>
      <c r="S98" s="40">
        <f>+VLOOKUP(A98,'Change in Proportion Layers'!$AK$8:$AP$318,4,FALSE)+M98</f>
        <v>-50135</v>
      </c>
      <c r="T98" s="40">
        <f>+VLOOKUP(A98,'Change in Proportion Layers'!$AK$8:$AP$318,5,FALSE)+N98</f>
        <v>23562</v>
      </c>
      <c r="U98" s="40">
        <f>+VLOOKUP(A98,'Change in Proportion Layers'!$AK$8:$AP$318,6,FALSE)+O98</f>
        <v>-8415</v>
      </c>
      <c r="W98" s="40">
        <f>('OPEB Amounts_Report'!G98-'OPEB Amounts_Report'!M98)</f>
        <v>-804793</v>
      </c>
      <c r="X98" s="109">
        <f t="shared" si="11"/>
        <v>0</v>
      </c>
    </row>
    <row r="99" spans="1:24">
      <c r="A99" s="22">
        <v>13437</v>
      </c>
      <c r="B99" s="23" t="s">
        <v>88</v>
      </c>
      <c r="C99" s="37">
        <f t="shared" si="12"/>
        <v>-18186</v>
      </c>
      <c r="D99" s="37">
        <f t="shared" si="13"/>
        <v>-4928</v>
      </c>
      <c r="E99" s="37">
        <f t="shared" si="14"/>
        <v>16942</v>
      </c>
      <c r="F99" s="37">
        <f t="shared" si="15"/>
        <v>15855</v>
      </c>
      <c r="G99" s="37">
        <f t="shared" si="16"/>
        <v>7038</v>
      </c>
      <c r="I99" s="41"/>
      <c r="K99" s="40">
        <f>ROUND(VLOOKUP($A99,'Contribution Allocation_Report'!$A$9:$D$314,4,FALSE)*$K$321,0)</f>
        <v>-55987</v>
      </c>
      <c r="L99" s="40">
        <f>ROUND(VLOOKUP($A99,'Contribution Allocation_Report'!$A$9:$D$314,4,FALSE)*$L$321,0)</f>
        <v>-37747</v>
      </c>
      <c r="M99" s="40">
        <f>ROUND(VLOOKUP($A99,'Contribution Allocation_Report'!$A$9:$D$314,4,FALSE)*$M$321,0)</f>
        <v>-12107</v>
      </c>
      <c r="N99" s="40">
        <f>ROUND(VLOOKUP($A99,'Contribution Allocation_Report'!$A$9:$D$314,4,FALSE)*$N$321,0)</f>
        <v>498</v>
      </c>
      <c r="O99" s="40">
        <f>ROUND(VLOOKUP($A99,'Contribution Allocation_Report'!$A$9:$D$314,4,FALSE)*$O$321,0)</f>
        <v>-1345</v>
      </c>
      <c r="Q99" s="40">
        <f>+VLOOKUP(A99,'Change in Proportion Layers'!$AK$8:$AP$318,2,FALSE)+K99</f>
        <v>-18186</v>
      </c>
      <c r="R99" s="40">
        <f>+VLOOKUP(A99,'Change in Proportion Layers'!$AK$8:$AP$318,3,FALSE)+L99</f>
        <v>-4928</v>
      </c>
      <c r="S99" s="40">
        <f>+VLOOKUP(A99,'Change in Proportion Layers'!$AK$8:$AP$318,4,FALSE)+M99</f>
        <v>16942</v>
      </c>
      <c r="T99" s="40">
        <f>+VLOOKUP(A99,'Change in Proportion Layers'!$AK$8:$AP$318,5,FALSE)+N99</f>
        <v>15855</v>
      </c>
      <c r="U99" s="40">
        <f>+VLOOKUP(A99,'Change in Proportion Layers'!$AK$8:$AP$318,6,FALSE)+O99-1</f>
        <v>7038</v>
      </c>
      <c r="W99" s="40">
        <f>('OPEB Amounts_Report'!G99-'OPEB Amounts_Report'!M99)</f>
        <v>16721</v>
      </c>
      <c r="X99" s="109">
        <f t="shared" si="11"/>
        <v>0</v>
      </c>
    </row>
    <row r="100" spans="1:24">
      <c r="A100" s="24">
        <v>2304</v>
      </c>
      <c r="B100" s="3" t="s">
        <v>89</v>
      </c>
      <c r="C100" s="38">
        <f t="shared" si="12"/>
        <v>-164851</v>
      </c>
      <c r="D100" s="38">
        <f t="shared" si="13"/>
        <v>-116820</v>
      </c>
      <c r="E100" s="38">
        <f t="shared" si="14"/>
        <v>-81452</v>
      </c>
      <c r="F100" s="38">
        <f t="shared" si="15"/>
        <v>45446</v>
      </c>
      <c r="G100" s="38">
        <f t="shared" si="16"/>
        <v>-539</v>
      </c>
      <c r="I100" s="41"/>
      <c r="K100" s="40">
        <f>ROUND(VLOOKUP($A100,'Contribution Allocation_Report'!$A$9:$D$314,4,FALSE)*$K$321,0)</f>
        <v>-211442</v>
      </c>
      <c r="L100" s="40">
        <f>ROUND(VLOOKUP($A100,'Contribution Allocation_Report'!$A$9:$D$314,4,FALSE)*$L$321,0)</f>
        <v>-142555</v>
      </c>
      <c r="M100" s="40">
        <f>ROUND(VLOOKUP($A100,'Contribution Allocation_Report'!$A$9:$D$314,4,FALSE)*$M$321,0)</f>
        <v>-45725</v>
      </c>
      <c r="N100" s="40">
        <f>ROUND(VLOOKUP($A100,'Contribution Allocation_Report'!$A$9:$D$314,4,FALSE)*$N$321,0)</f>
        <v>1882</v>
      </c>
      <c r="O100" s="40">
        <f>ROUND(VLOOKUP($A100,'Contribution Allocation_Report'!$A$9:$D$314,4,FALSE)*$O$321,0)</f>
        <v>-5080</v>
      </c>
      <c r="Q100" s="40">
        <f>+VLOOKUP(A100,'Change in Proportion Layers'!$AK$8:$AP$318,2,FALSE)+K100</f>
        <v>-164851</v>
      </c>
      <c r="R100" s="40">
        <f>+VLOOKUP(A100,'Change in Proportion Layers'!$AK$8:$AP$318,3,FALSE)+L100</f>
        <v>-116820</v>
      </c>
      <c r="S100" s="40">
        <f>+VLOOKUP(A100,'Change in Proportion Layers'!$AK$8:$AP$318,4,FALSE)+M100</f>
        <v>-81452</v>
      </c>
      <c r="T100" s="40">
        <f>+VLOOKUP(A100,'Change in Proportion Layers'!$AK$8:$AP$318,5,FALSE)+N100</f>
        <v>45446</v>
      </c>
      <c r="U100" s="40">
        <f>+VLOOKUP(A100,'Change in Proportion Layers'!$AK$8:$AP$318,6,FALSE)+O100+2</f>
        <v>-539</v>
      </c>
      <c r="W100" s="40">
        <f>('OPEB Amounts_Report'!G100-'OPEB Amounts_Report'!M100)</f>
        <v>-318216</v>
      </c>
      <c r="X100" s="109">
        <f t="shared" si="11"/>
        <v>0</v>
      </c>
    </row>
    <row r="101" spans="1:24">
      <c r="A101" s="22">
        <v>11101</v>
      </c>
      <c r="B101" s="23" t="s">
        <v>91</v>
      </c>
      <c r="C101" s="37">
        <f t="shared" si="12"/>
        <v>-2833275</v>
      </c>
      <c r="D101" s="37">
        <f t="shared" si="13"/>
        <v>-1941066</v>
      </c>
      <c r="E101" s="37">
        <f t="shared" si="14"/>
        <v>-1043489</v>
      </c>
      <c r="F101" s="37">
        <f t="shared" si="15"/>
        <v>220058</v>
      </c>
      <c r="G101" s="37">
        <f t="shared" si="16"/>
        <v>-39053</v>
      </c>
      <c r="I101" s="41"/>
      <c r="K101" s="40">
        <f>ROUND(VLOOKUP($A101,'Contribution Allocation_Report'!$A$9:$D$314,4,FALSE)*$K$321,0)</f>
        <v>-2403428</v>
      </c>
      <c r="L101" s="40">
        <f>ROUND(VLOOKUP($A101,'Contribution Allocation_Report'!$A$9:$D$314,4,FALSE)*$L$321,0)</f>
        <v>-1620403</v>
      </c>
      <c r="M101" s="40">
        <f>ROUND(VLOOKUP($A101,'Contribution Allocation_Report'!$A$9:$D$314,4,FALSE)*$M$321,0)</f>
        <v>-519745</v>
      </c>
      <c r="N101" s="40">
        <f>ROUND(VLOOKUP($A101,'Contribution Allocation_Report'!$A$9:$D$314,4,FALSE)*$N$321,0)</f>
        <v>21396</v>
      </c>
      <c r="O101" s="40">
        <f>ROUND(VLOOKUP($A101,'Contribution Allocation_Report'!$A$9:$D$314,4,FALSE)*$O$321,0)</f>
        <v>-57746</v>
      </c>
      <c r="Q101" s="40">
        <f>+VLOOKUP(A101,'Change in Proportion Layers'!$AK$8:$AP$318,2,FALSE)+K101</f>
        <v>-2833275</v>
      </c>
      <c r="R101" s="40">
        <f>+VLOOKUP(A101,'Change in Proportion Layers'!$AK$8:$AP$318,3,FALSE)+L101</f>
        <v>-1941066</v>
      </c>
      <c r="S101" s="40">
        <f>+VLOOKUP(A101,'Change in Proportion Layers'!$AK$8:$AP$318,4,FALSE)+M101</f>
        <v>-1043489</v>
      </c>
      <c r="T101" s="40">
        <f>+VLOOKUP(A101,'Change in Proportion Layers'!$AK$8:$AP$318,5,FALSE)+N101</f>
        <v>220058</v>
      </c>
      <c r="U101" s="40">
        <f>+VLOOKUP(A101,'Change in Proportion Layers'!$AK$8:$AP$318,6,FALSE)+O101-1</f>
        <v>-39053</v>
      </c>
      <c r="W101" s="40">
        <f>('OPEB Amounts_Report'!G101-'OPEB Amounts_Report'!M101)</f>
        <v>-5636825</v>
      </c>
      <c r="X101" s="109">
        <f t="shared" si="11"/>
        <v>0</v>
      </c>
    </row>
    <row r="102" spans="1:24">
      <c r="A102" s="24">
        <v>11102</v>
      </c>
      <c r="B102" s="3" t="s">
        <v>90</v>
      </c>
      <c r="C102" s="38">
        <f t="shared" si="12"/>
        <v>-874682</v>
      </c>
      <c r="D102" s="38">
        <f t="shared" si="13"/>
        <v>-547038</v>
      </c>
      <c r="E102" s="38">
        <f t="shared" si="14"/>
        <v>-246744</v>
      </c>
      <c r="F102" s="38">
        <f t="shared" si="15"/>
        <v>-75342</v>
      </c>
      <c r="G102" s="38">
        <f t="shared" si="16"/>
        <v>-62368</v>
      </c>
      <c r="I102" s="41"/>
      <c r="K102" s="40">
        <f>ROUND(VLOOKUP($A102,'Contribution Allocation_Report'!$A$9:$D$314,4,FALSE)*$K$321,0)</f>
        <v>-778994</v>
      </c>
      <c r="L102" s="40">
        <f>ROUND(VLOOKUP($A102,'Contribution Allocation_Report'!$A$9:$D$314,4,FALSE)*$L$321,0)</f>
        <v>-525202</v>
      </c>
      <c r="M102" s="40">
        <f>ROUND(VLOOKUP($A102,'Contribution Allocation_Report'!$A$9:$D$314,4,FALSE)*$M$321,0)</f>
        <v>-168459</v>
      </c>
      <c r="N102" s="40">
        <f>ROUND(VLOOKUP($A102,'Contribution Allocation_Report'!$A$9:$D$314,4,FALSE)*$N$321,0)</f>
        <v>6935</v>
      </c>
      <c r="O102" s="40">
        <f>ROUND(VLOOKUP($A102,'Contribution Allocation_Report'!$A$9:$D$314,4,FALSE)*$O$321,0)</f>
        <v>-18717</v>
      </c>
      <c r="Q102" s="40">
        <f>+VLOOKUP(A102,'Change in Proportion Layers'!$AK$8:$AP$318,2,FALSE)+K102</f>
        <v>-874682</v>
      </c>
      <c r="R102" s="40">
        <f>+VLOOKUP(A102,'Change in Proportion Layers'!$AK$8:$AP$318,3,FALSE)+L102</f>
        <v>-547038</v>
      </c>
      <c r="S102" s="40">
        <f>+VLOOKUP(A102,'Change in Proportion Layers'!$AK$8:$AP$318,4,FALSE)+M102</f>
        <v>-246744</v>
      </c>
      <c r="T102" s="40">
        <f>+VLOOKUP(A102,'Change in Proportion Layers'!$AK$8:$AP$318,5,FALSE)+N102</f>
        <v>-75342</v>
      </c>
      <c r="U102" s="40">
        <f>+VLOOKUP(A102,'Change in Proportion Layers'!$AK$8:$AP$318,6,FALSE)+O102</f>
        <v>-62368</v>
      </c>
      <c r="W102" s="40">
        <f>('OPEB Amounts_Report'!G102-'OPEB Amounts_Report'!M102)</f>
        <v>-1806174</v>
      </c>
      <c r="X102" s="109">
        <f t="shared" si="11"/>
        <v>0</v>
      </c>
    </row>
    <row r="103" spans="1:24">
      <c r="A103" s="22">
        <v>3100</v>
      </c>
      <c r="B103" s="23" t="s">
        <v>92</v>
      </c>
      <c r="C103" s="37">
        <f t="shared" si="12"/>
        <v>-1675652</v>
      </c>
      <c r="D103" s="37">
        <f t="shared" si="13"/>
        <v>-1424123</v>
      </c>
      <c r="E103" s="37">
        <f t="shared" si="14"/>
        <v>-537595</v>
      </c>
      <c r="F103" s="37">
        <f t="shared" si="15"/>
        <v>31283</v>
      </c>
      <c r="G103" s="37">
        <f t="shared" si="16"/>
        <v>-93457</v>
      </c>
      <c r="I103" s="41"/>
      <c r="K103" s="40">
        <f>ROUND(VLOOKUP($A103,'Contribution Allocation_Report'!$A$9:$D$314,4,FALSE)*$K$321,0)</f>
        <v>-1633671</v>
      </c>
      <c r="L103" s="40">
        <f>ROUND(VLOOKUP($A103,'Contribution Allocation_Report'!$A$9:$D$314,4,FALSE)*$L$321,0)</f>
        <v>-1101429</v>
      </c>
      <c r="M103" s="40">
        <f>ROUND(VLOOKUP($A103,'Contribution Allocation_Report'!$A$9:$D$314,4,FALSE)*$M$321,0)</f>
        <v>-353284</v>
      </c>
      <c r="N103" s="40">
        <f>ROUND(VLOOKUP($A103,'Contribution Allocation_Report'!$A$9:$D$314,4,FALSE)*$N$321,0)</f>
        <v>14543</v>
      </c>
      <c r="O103" s="40">
        <f>ROUND(VLOOKUP($A103,'Contribution Allocation_Report'!$A$9:$D$314,4,FALSE)*$O$321,0)</f>
        <v>-39251</v>
      </c>
      <c r="Q103" s="40">
        <f>+VLOOKUP(A103,'Change in Proportion Layers'!$AK$8:$AP$318,2,FALSE)+K103</f>
        <v>-1675652</v>
      </c>
      <c r="R103" s="40">
        <f>+VLOOKUP(A103,'Change in Proportion Layers'!$AK$8:$AP$318,3,FALSE)+L103</f>
        <v>-1424123</v>
      </c>
      <c r="S103" s="40">
        <f>+VLOOKUP(A103,'Change in Proportion Layers'!$AK$8:$AP$318,4,FALSE)+M103</f>
        <v>-537595</v>
      </c>
      <c r="T103" s="40">
        <f>+VLOOKUP(A103,'Change in Proportion Layers'!$AK$8:$AP$318,5,FALSE)+N103</f>
        <v>31283</v>
      </c>
      <c r="U103" s="40">
        <f>+VLOOKUP(A103,'Change in Proportion Layers'!$AK$8:$AP$318,6,FALSE)+O103+1</f>
        <v>-93457</v>
      </c>
      <c r="W103" s="40">
        <f>('OPEB Amounts_Report'!G103-'OPEB Amounts_Report'!M103)</f>
        <v>-3699544</v>
      </c>
      <c r="X103" s="109">
        <f t="shared" si="11"/>
        <v>0</v>
      </c>
    </row>
    <row r="104" spans="1:24">
      <c r="A104" s="24">
        <v>2323</v>
      </c>
      <c r="B104" s="3" t="s">
        <v>93</v>
      </c>
      <c r="C104" s="38">
        <f t="shared" si="12"/>
        <v>-175089</v>
      </c>
      <c r="D104" s="38">
        <f t="shared" si="13"/>
        <v>-125782</v>
      </c>
      <c r="E104" s="38">
        <f t="shared" si="14"/>
        <v>-64983</v>
      </c>
      <c r="F104" s="38">
        <f t="shared" si="15"/>
        <v>-38942</v>
      </c>
      <c r="G104" s="38">
        <f t="shared" si="16"/>
        <v>-14185</v>
      </c>
      <c r="I104" s="41"/>
      <c r="K104" s="40">
        <f>ROUND(VLOOKUP($A104,'Contribution Allocation_Report'!$A$9:$D$314,4,FALSE)*$K$321,0)</f>
        <v>-155676</v>
      </c>
      <c r="L104" s="40">
        <f>ROUND(VLOOKUP($A104,'Contribution Allocation_Report'!$A$9:$D$314,4,FALSE)*$L$321,0)</f>
        <v>-104958</v>
      </c>
      <c r="M104" s="40">
        <f>ROUND(VLOOKUP($A104,'Contribution Allocation_Report'!$A$9:$D$314,4,FALSE)*$M$321,0)</f>
        <v>-33665</v>
      </c>
      <c r="N104" s="40">
        <f>ROUND(VLOOKUP($A104,'Contribution Allocation_Report'!$A$9:$D$314,4,FALSE)*$N$321,0)</f>
        <v>1386</v>
      </c>
      <c r="O104" s="40">
        <f>ROUND(VLOOKUP($A104,'Contribution Allocation_Report'!$A$9:$D$314,4,FALSE)*$O$321,0)</f>
        <v>-3740</v>
      </c>
      <c r="Q104" s="40">
        <f>+VLOOKUP(A104,'Change in Proportion Layers'!$AK$8:$AP$318,2,FALSE)+K104</f>
        <v>-175089</v>
      </c>
      <c r="R104" s="40">
        <f>+VLOOKUP(A104,'Change in Proportion Layers'!$AK$8:$AP$318,3,FALSE)+L104</f>
        <v>-125782</v>
      </c>
      <c r="S104" s="40">
        <f>+VLOOKUP(A104,'Change in Proportion Layers'!$AK$8:$AP$318,4,FALSE)+M104</f>
        <v>-64983</v>
      </c>
      <c r="T104" s="40">
        <f>+VLOOKUP(A104,'Change in Proportion Layers'!$AK$8:$AP$318,5,FALSE)+N104</f>
        <v>-38942</v>
      </c>
      <c r="U104" s="40">
        <f>+VLOOKUP(A104,'Change in Proportion Layers'!$AK$8:$AP$318,6,FALSE)+O104</f>
        <v>-14185</v>
      </c>
      <c r="W104" s="40">
        <f>('OPEB Amounts_Report'!G104-'OPEB Amounts_Report'!M104)</f>
        <v>-418981</v>
      </c>
      <c r="X104" s="109">
        <f t="shared" si="11"/>
        <v>0</v>
      </c>
    </row>
    <row r="105" spans="1:24">
      <c r="A105" s="22">
        <v>11034</v>
      </c>
      <c r="B105" s="23" t="s">
        <v>94</v>
      </c>
      <c r="C105" s="37">
        <f t="shared" si="12"/>
        <v>-129278</v>
      </c>
      <c r="D105" s="37">
        <f t="shared" si="13"/>
        <v>-80935</v>
      </c>
      <c r="E105" s="37">
        <f t="shared" si="14"/>
        <v>-11167</v>
      </c>
      <c r="F105" s="37">
        <f t="shared" si="15"/>
        <v>4066</v>
      </c>
      <c r="G105" s="37">
        <f t="shared" si="16"/>
        <v>1683</v>
      </c>
      <c r="I105" s="41"/>
      <c r="K105" s="40">
        <f>ROUND(VLOOKUP($A105,'Contribution Allocation_Report'!$A$9:$D$314,4,FALSE)*$K$321,0)</f>
        <v>-135282</v>
      </c>
      <c r="L105" s="40">
        <f>ROUND(VLOOKUP($A105,'Contribution Allocation_Report'!$A$9:$D$314,4,FALSE)*$L$321,0)</f>
        <v>-91208</v>
      </c>
      <c r="M105" s="40">
        <f>ROUND(VLOOKUP($A105,'Contribution Allocation_Report'!$A$9:$D$314,4,FALSE)*$M$321,0)</f>
        <v>-29255</v>
      </c>
      <c r="N105" s="40">
        <f>ROUND(VLOOKUP($A105,'Contribution Allocation_Report'!$A$9:$D$314,4,FALSE)*$N$321,0)</f>
        <v>1204</v>
      </c>
      <c r="O105" s="40">
        <f>ROUND(VLOOKUP($A105,'Contribution Allocation_Report'!$A$9:$D$314,4,FALSE)*$O$321,0)</f>
        <v>-3250</v>
      </c>
      <c r="Q105" s="40">
        <f>+VLOOKUP(A105,'Change in Proportion Layers'!$AK$8:$AP$318,2,FALSE)+K105</f>
        <v>-129278</v>
      </c>
      <c r="R105" s="40">
        <f>+VLOOKUP(A105,'Change in Proportion Layers'!$AK$8:$AP$318,3,FALSE)+L105</f>
        <v>-80935</v>
      </c>
      <c r="S105" s="40">
        <f>+VLOOKUP(A105,'Change in Proportion Layers'!$AK$8:$AP$318,4,FALSE)+M105</f>
        <v>-11167</v>
      </c>
      <c r="T105" s="40">
        <f>+VLOOKUP(A105,'Change in Proportion Layers'!$AK$8:$AP$318,5,FALSE)+N105</f>
        <v>4066</v>
      </c>
      <c r="U105" s="40">
        <f>+VLOOKUP(A105,'Change in Proportion Layers'!$AK$8:$AP$318,6,FALSE)+O105-1</f>
        <v>1683</v>
      </c>
      <c r="W105" s="40">
        <f>('OPEB Amounts_Report'!G105-'OPEB Amounts_Report'!M105)</f>
        <v>-215631</v>
      </c>
      <c r="X105" s="109">
        <f t="shared" si="11"/>
        <v>0</v>
      </c>
    </row>
    <row r="106" spans="1:24">
      <c r="A106" s="24">
        <v>588001</v>
      </c>
      <c r="B106" s="3" t="s">
        <v>475</v>
      </c>
      <c r="C106" s="38">
        <f t="shared" ref="C106" si="17">+Q106</f>
        <v>771</v>
      </c>
      <c r="D106" s="38">
        <f t="shared" ref="D106" si="18">+R106</f>
        <v>2300</v>
      </c>
      <c r="E106" s="38">
        <f t="shared" ref="E106" si="19">+S106</f>
        <v>4449</v>
      </c>
      <c r="F106" s="38">
        <f t="shared" ref="F106" si="20">+T106</f>
        <v>5506</v>
      </c>
      <c r="G106" s="38">
        <f t="shared" ref="G106" si="21">+U106</f>
        <v>4095</v>
      </c>
      <c r="I106" s="41"/>
      <c r="K106" s="40">
        <f>ROUND(VLOOKUP($A106,'Contribution Allocation_Report'!$A$9:$D$314,4,FALSE)*$K$321,0)</f>
        <v>-4693</v>
      </c>
      <c r="L106" s="40">
        <f>ROUND(VLOOKUP($A106,'Contribution Allocation_Report'!$A$9:$D$314,4,FALSE)*$L$321,0)</f>
        <v>-3164</v>
      </c>
      <c r="M106" s="40">
        <f>ROUND(VLOOKUP($A106,'Contribution Allocation_Report'!$A$9:$D$314,4,FALSE)*$M$321,0)</f>
        <v>-1015</v>
      </c>
      <c r="N106" s="40">
        <f>ROUND(VLOOKUP($A106,'Contribution Allocation_Report'!$A$9:$D$314,4,FALSE)*$N$321,0)</f>
        <v>42</v>
      </c>
      <c r="O106" s="40">
        <f>ROUND(VLOOKUP($A106,'Contribution Allocation_Report'!$A$9:$D$314,4,FALSE)*$O$321,0)</f>
        <v>-113</v>
      </c>
      <c r="Q106" s="40">
        <f>+VLOOKUP(A106,'Change in Proportion Layers'!$AK$8:$AP$318,2,FALSE)+K106</f>
        <v>771</v>
      </c>
      <c r="R106" s="40">
        <f>+VLOOKUP(A106,'Change in Proportion Layers'!$AK$8:$AP$318,3,FALSE)+L106</f>
        <v>2300</v>
      </c>
      <c r="S106" s="40">
        <f>+VLOOKUP(A106,'Change in Proportion Layers'!$AK$8:$AP$318,4,FALSE)+M106</f>
        <v>4449</v>
      </c>
      <c r="T106" s="40">
        <f>+VLOOKUP(A106,'Change in Proportion Layers'!$AK$8:$AP$318,5,FALSE)+N106</f>
        <v>5506</v>
      </c>
      <c r="U106" s="40">
        <f>+VLOOKUP(A106,'Change in Proportion Layers'!$AK$8:$AP$318,6,FALSE)+O106-2</f>
        <v>4095</v>
      </c>
      <c r="W106" s="40">
        <f>('OPEB Amounts_Report'!G106-'OPEB Amounts_Report'!M106)</f>
        <v>17121</v>
      </c>
      <c r="X106" s="109">
        <f t="shared" ref="X106" si="22">SUM(Q106:U106)-W106</f>
        <v>0</v>
      </c>
    </row>
    <row r="107" spans="1:24">
      <c r="A107" s="22">
        <v>17054</v>
      </c>
      <c r="B107" s="23" t="s">
        <v>95</v>
      </c>
      <c r="C107" s="37">
        <f t="shared" si="12"/>
        <v>-2105199</v>
      </c>
      <c r="D107" s="37">
        <f t="shared" si="13"/>
        <v>-1546263</v>
      </c>
      <c r="E107" s="37">
        <f t="shared" si="14"/>
        <v>-618084</v>
      </c>
      <c r="F107" s="37">
        <f t="shared" si="15"/>
        <v>-76090</v>
      </c>
      <c r="G107" s="37">
        <f t="shared" si="16"/>
        <v>-63274</v>
      </c>
      <c r="I107" s="41"/>
      <c r="K107" s="40">
        <f>ROUND(VLOOKUP($A107,'Contribution Allocation_Report'!$A$9:$D$314,4,FALSE)*$K$321,0)</f>
        <v>-1718001</v>
      </c>
      <c r="L107" s="40">
        <f>ROUND(VLOOKUP($A107,'Contribution Allocation_Report'!$A$9:$D$314,4,FALSE)*$L$321,0)</f>
        <v>-1158285</v>
      </c>
      <c r="M107" s="40">
        <f>ROUND(VLOOKUP($A107,'Contribution Allocation_Report'!$A$9:$D$314,4,FALSE)*$M$321,0)</f>
        <v>-371520</v>
      </c>
      <c r="N107" s="40">
        <f>ROUND(VLOOKUP($A107,'Contribution Allocation_Report'!$A$9:$D$314,4,FALSE)*$N$321,0)</f>
        <v>15294</v>
      </c>
      <c r="O107" s="40">
        <f>ROUND(VLOOKUP($A107,'Contribution Allocation_Report'!$A$9:$D$314,4,FALSE)*$O$321,0)</f>
        <v>-41278</v>
      </c>
      <c r="Q107" s="40">
        <f>+VLOOKUP(A107,'Change in Proportion Layers'!$AK$8:$AP$318,2,FALSE)+K107</f>
        <v>-2105199</v>
      </c>
      <c r="R107" s="40">
        <f>+VLOOKUP(A107,'Change in Proportion Layers'!$AK$8:$AP$318,3,FALSE)+L107</f>
        <v>-1546263</v>
      </c>
      <c r="S107" s="40">
        <f>+VLOOKUP(A107,'Change in Proportion Layers'!$AK$8:$AP$318,4,FALSE)+M107</f>
        <v>-618084</v>
      </c>
      <c r="T107" s="40">
        <f>+VLOOKUP(A107,'Change in Proportion Layers'!$AK$8:$AP$318,5,FALSE)+N107</f>
        <v>-76090</v>
      </c>
      <c r="U107" s="40">
        <f>+VLOOKUP(A107,'Change in Proportion Layers'!$AK$8:$AP$318,6,FALSE)+O107+1</f>
        <v>-63274</v>
      </c>
      <c r="W107" s="40">
        <f>('OPEB Amounts_Report'!G107-'OPEB Amounts_Report'!M107)</f>
        <v>-4408910</v>
      </c>
      <c r="X107" s="109">
        <f t="shared" si="11"/>
        <v>0</v>
      </c>
    </row>
    <row r="108" spans="1:24">
      <c r="A108" s="24">
        <v>22065</v>
      </c>
      <c r="B108" s="3" t="s">
        <v>96</v>
      </c>
      <c r="C108" s="38">
        <f t="shared" si="12"/>
        <v>-404058</v>
      </c>
      <c r="D108" s="38">
        <f t="shared" si="13"/>
        <v>-257601</v>
      </c>
      <c r="E108" s="38">
        <f t="shared" si="14"/>
        <v>-71872</v>
      </c>
      <c r="F108" s="38">
        <f t="shared" si="15"/>
        <v>44532</v>
      </c>
      <c r="G108" s="38">
        <f t="shared" si="16"/>
        <v>-12158</v>
      </c>
      <c r="I108" s="41"/>
      <c r="K108" s="40">
        <f>ROUND(VLOOKUP($A108,'Contribution Allocation_Report'!$A$9:$D$314,4,FALSE)*$K$321,0)</f>
        <v>-443916</v>
      </c>
      <c r="L108" s="40">
        <f>ROUND(VLOOKUP($A108,'Contribution Allocation_Report'!$A$9:$D$314,4,FALSE)*$L$321,0)</f>
        <v>-299291</v>
      </c>
      <c r="M108" s="40">
        <f>ROUND(VLOOKUP($A108,'Contribution Allocation_Report'!$A$9:$D$314,4,FALSE)*$M$321,0)</f>
        <v>-95998</v>
      </c>
      <c r="N108" s="40">
        <f>ROUND(VLOOKUP($A108,'Contribution Allocation_Report'!$A$9:$D$314,4,FALSE)*$N$321,0)</f>
        <v>3952</v>
      </c>
      <c r="O108" s="40">
        <f>ROUND(VLOOKUP($A108,'Contribution Allocation_Report'!$A$9:$D$314,4,FALSE)*$O$321,0)</f>
        <v>-10666</v>
      </c>
      <c r="Q108" s="40">
        <f>+VLOOKUP(A108,'Change in Proportion Layers'!$AK$8:$AP$318,2,FALSE)+K108</f>
        <v>-404058</v>
      </c>
      <c r="R108" s="40">
        <f>+VLOOKUP(A108,'Change in Proportion Layers'!$AK$8:$AP$318,3,FALSE)+L108</f>
        <v>-257601</v>
      </c>
      <c r="S108" s="40">
        <f>+VLOOKUP(A108,'Change in Proportion Layers'!$AK$8:$AP$318,4,FALSE)+M108</f>
        <v>-71872</v>
      </c>
      <c r="T108" s="40">
        <f>+VLOOKUP(A108,'Change in Proportion Layers'!$AK$8:$AP$318,5,FALSE)+N108</f>
        <v>44532</v>
      </c>
      <c r="U108" s="40">
        <f>+VLOOKUP(A108,'Change in Proportion Layers'!$AK$8:$AP$318,6,FALSE)+O108</f>
        <v>-12158</v>
      </c>
      <c r="W108" s="40">
        <f>('OPEB Amounts_Report'!G108-'OPEB Amounts_Report'!M108)</f>
        <v>-701157</v>
      </c>
      <c r="X108" s="109">
        <f t="shared" si="11"/>
        <v>0</v>
      </c>
    </row>
    <row r="109" spans="1:24">
      <c r="A109" s="22">
        <v>22201</v>
      </c>
      <c r="B109" s="23" t="s">
        <v>97</v>
      </c>
      <c r="C109" s="37">
        <f t="shared" si="12"/>
        <v>-189536</v>
      </c>
      <c r="D109" s="37">
        <f t="shared" si="13"/>
        <v>-104042</v>
      </c>
      <c r="E109" s="37">
        <f t="shared" si="14"/>
        <v>-17996</v>
      </c>
      <c r="F109" s="37">
        <f t="shared" si="15"/>
        <v>15443</v>
      </c>
      <c r="G109" s="37">
        <f t="shared" si="16"/>
        <v>-24657</v>
      </c>
      <c r="I109" s="41"/>
      <c r="K109" s="40">
        <f>ROUND(VLOOKUP($A109,'Contribution Allocation_Report'!$A$9:$D$314,4,FALSE)*$K$321,0)</f>
        <v>-240589</v>
      </c>
      <c r="L109" s="40">
        <f>ROUND(VLOOKUP($A109,'Contribution Allocation_Report'!$A$9:$D$314,4,FALSE)*$L$321,0)</f>
        <v>-162206</v>
      </c>
      <c r="M109" s="40">
        <f>ROUND(VLOOKUP($A109,'Contribution Allocation_Report'!$A$9:$D$314,4,FALSE)*$M$321,0)</f>
        <v>-52028</v>
      </c>
      <c r="N109" s="40">
        <f>ROUND(VLOOKUP($A109,'Contribution Allocation_Report'!$A$9:$D$314,4,FALSE)*$N$321,0)</f>
        <v>2142</v>
      </c>
      <c r="O109" s="40">
        <f>ROUND(VLOOKUP($A109,'Contribution Allocation_Report'!$A$9:$D$314,4,FALSE)*$O$321,0)</f>
        <v>-5781</v>
      </c>
      <c r="Q109" s="40">
        <f>+VLOOKUP(A109,'Change in Proportion Layers'!$AK$8:$AP$318,2,FALSE)+K109</f>
        <v>-189536</v>
      </c>
      <c r="R109" s="40">
        <f>+VLOOKUP(A109,'Change in Proportion Layers'!$AK$8:$AP$318,3,FALSE)+L109</f>
        <v>-104042</v>
      </c>
      <c r="S109" s="40">
        <f>+VLOOKUP(A109,'Change in Proportion Layers'!$AK$8:$AP$318,4,FALSE)+M109</f>
        <v>-17996</v>
      </c>
      <c r="T109" s="40">
        <f>+VLOOKUP(A109,'Change in Proportion Layers'!$AK$8:$AP$318,5,FALSE)+N109</f>
        <v>15443</v>
      </c>
      <c r="U109" s="40">
        <f>+VLOOKUP(A109,'Change in Proportion Layers'!$AK$8:$AP$318,6,FALSE)+O109</f>
        <v>-24657</v>
      </c>
      <c r="W109" s="40">
        <f>('OPEB Amounts_Report'!G109-'OPEB Amounts_Report'!M109)</f>
        <v>-320788</v>
      </c>
      <c r="X109" s="109">
        <f t="shared" si="11"/>
        <v>0</v>
      </c>
    </row>
    <row r="110" spans="1:24">
      <c r="A110" s="24">
        <v>6016</v>
      </c>
      <c r="B110" s="3" t="s">
        <v>98</v>
      </c>
      <c r="C110" s="38">
        <f t="shared" si="12"/>
        <v>-435403</v>
      </c>
      <c r="D110" s="38">
        <f t="shared" si="13"/>
        <v>-259490</v>
      </c>
      <c r="E110" s="38">
        <f t="shared" si="14"/>
        <v>-100606</v>
      </c>
      <c r="F110" s="38">
        <f t="shared" si="15"/>
        <v>12783</v>
      </c>
      <c r="G110" s="38">
        <f t="shared" si="16"/>
        <v>3177</v>
      </c>
      <c r="I110" s="41"/>
      <c r="K110" s="40">
        <f>ROUND(VLOOKUP($A110,'Contribution Allocation_Report'!$A$9:$D$314,4,FALSE)*$K$321,0)</f>
        <v>-443436</v>
      </c>
      <c r="L110" s="40">
        <f>ROUND(VLOOKUP($A110,'Contribution Allocation_Report'!$A$9:$D$314,4,FALSE)*$L$321,0)</f>
        <v>-298967</v>
      </c>
      <c r="M110" s="40">
        <f>ROUND(VLOOKUP($A110,'Contribution Allocation_Report'!$A$9:$D$314,4,FALSE)*$M$321,0)</f>
        <v>-95894</v>
      </c>
      <c r="N110" s="40">
        <f>ROUND(VLOOKUP($A110,'Contribution Allocation_Report'!$A$9:$D$314,4,FALSE)*$N$321,0)</f>
        <v>3948</v>
      </c>
      <c r="O110" s="40">
        <f>ROUND(VLOOKUP($A110,'Contribution Allocation_Report'!$A$9:$D$314,4,FALSE)*$O$321,0)</f>
        <v>-10654</v>
      </c>
      <c r="Q110" s="40">
        <f>+VLOOKUP(A110,'Change in Proportion Layers'!$AK$8:$AP$318,2,FALSE)+K110</f>
        <v>-435403</v>
      </c>
      <c r="R110" s="40">
        <f>+VLOOKUP(A110,'Change in Proportion Layers'!$AK$8:$AP$318,3,FALSE)+L110</f>
        <v>-259490</v>
      </c>
      <c r="S110" s="40">
        <f>+VLOOKUP(A110,'Change in Proportion Layers'!$AK$8:$AP$318,4,FALSE)+M110</f>
        <v>-100606</v>
      </c>
      <c r="T110" s="40">
        <f>+VLOOKUP(A110,'Change in Proportion Layers'!$AK$8:$AP$318,5,FALSE)+N110</f>
        <v>12783</v>
      </c>
      <c r="U110" s="40">
        <f>+VLOOKUP(A110,'Change in Proportion Layers'!$AK$8:$AP$318,6,FALSE)+O110</f>
        <v>3177</v>
      </c>
      <c r="W110" s="40">
        <f>('OPEB Amounts_Report'!G110-'OPEB Amounts_Report'!M110)</f>
        <v>-779539</v>
      </c>
      <c r="X110" s="109">
        <f t="shared" si="11"/>
        <v>0</v>
      </c>
    </row>
    <row r="111" spans="1:24">
      <c r="A111" s="22">
        <v>2432</v>
      </c>
      <c r="B111" s="23" t="s">
        <v>99</v>
      </c>
      <c r="C111" s="37">
        <f t="shared" si="12"/>
        <v>126540</v>
      </c>
      <c r="D111" s="37">
        <f t="shared" si="13"/>
        <v>190048</v>
      </c>
      <c r="E111" s="37">
        <f t="shared" si="14"/>
        <v>210904</v>
      </c>
      <c r="F111" s="37">
        <f t="shared" si="15"/>
        <v>71179</v>
      </c>
      <c r="G111" s="37">
        <f t="shared" si="16"/>
        <v>37434</v>
      </c>
      <c r="I111" s="41"/>
      <c r="K111" s="40">
        <f>ROUND(VLOOKUP($A111,'Contribution Allocation_Report'!$A$9:$D$314,4,FALSE)*$K$321,0)</f>
        <v>-741876</v>
      </c>
      <c r="L111" s="40">
        <f>ROUND(VLOOKUP($A111,'Contribution Allocation_Report'!$A$9:$D$314,4,FALSE)*$L$321,0)</f>
        <v>-500177</v>
      </c>
      <c r="M111" s="40">
        <f>ROUND(VLOOKUP($A111,'Contribution Allocation_Report'!$A$9:$D$314,4,FALSE)*$M$321,0)</f>
        <v>-160432</v>
      </c>
      <c r="N111" s="40">
        <f>ROUND(VLOOKUP($A111,'Contribution Allocation_Report'!$A$9:$D$314,4,FALSE)*$N$321,0)</f>
        <v>6604</v>
      </c>
      <c r="O111" s="40">
        <f>ROUND(VLOOKUP($A111,'Contribution Allocation_Report'!$A$9:$D$314,4,FALSE)*$O$321,0)</f>
        <v>-17825</v>
      </c>
      <c r="Q111" s="40">
        <f>+VLOOKUP(A111,'Change in Proportion Layers'!$AK$8:$AP$318,2,FALSE)+K111</f>
        <v>126540</v>
      </c>
      <c r="R111" s="40">
        <f>+VLOOKUP(A111,'Change in Proportion Layers'!$AK$8:$AP$318,3,FALSE)+L111</f>
        <v>190048</v>
      </c>
      <c r="S111" s="40">
        <f>+VLOOKUP(A111,'Change in Proportion Layers'!$AK$8:$AP$318,4,FALSE)+M111</f>
        <v>210904</v>
      </c>
      <c r="T111" s="40">
        <f>+VLOOKUP(A111,'Change in Proportion Layers'!$AK$8:$AP$318,5,FALSE)+N111</f>
        <v>71179</v>
      </c>
      <c r="U111" s="40">
        <f>+VLOOKUP(A111,'Change in Proportion Layers'!$AK$8:$AP$318,6,FALSE)+O111+1</f>
        <v>37434</v>
      </c>
      <c r="W111" s="40">
        <f>('OPEB Amounts_Report'!G111-'OPEB Amounts_Report'!M111)</f>
        <v>636105</v>
      </c>
      <c r="X111" s="109">
        <f t="shared" si="11"/>
        <v>0</v>
      </c>
    </row>
    <row r="112" spans="1:24">
      <c r="A112" s="24">
        <v>7440</v>
      </c>
      <c r="B112" s="3" t="s">
        <v>428</v>
      </c>
      <c r="C112" s="38">
        <f t="shared" ref="C112:C113" si="23">+Q112</f>
        <v>101871</v>
      </c>
      <c r="D112" s="38">
        <f t="shared" ref="D112:D113" si="24">+R112</f>
        <v>170592</v>
      </c>
      <c r="E112" s="38">
        <f t="shared" ref="E112:E113" si="25">+S112</f>
        <v>193809</v>
      </c>
      <c r="F112" s="38">
        <f t="shared" ref="F112:F113" si="26">+T112</f>
        <v>173047</v>
      </c>
      <c r="G112" s="38">
        <f t="shared" ref="G112:G113" si="27">+U112</f>
        <v>71567</v>
      </c>
      <c r="I112" s="41"/>
      <c r="K112" s="40">
        <f>ROUND(VLOOKUP($A112,'Contribution Allocation_Report'!$A$9:$D$314,4,FALSE)*$K$321,0)</f>
        <v>-239869</v>
      </c>
      <c r="L112" s="40">
        <f>ROUND(VLOOKUP($A112,'Contribution Allocation_Report'!$A$9:$D$314,4,FALSE)*$L$321,0)</f>
        <v>-161721</v>
      </c>
      <c r="M112" s="40">
        <f>ROUND(VLOOKUP($A112,'Contribution Allocation_Report'!$A$9:$D$314,4,FALSE)*$M$321,0)</f>
        <v>-51872</v>
      </c>
      <c r="N112" s="40">
        <f>ROUND(VLOOKUP($A112,'Contribution Allocation_Report'!$A$9:$D$314,4,FALSE)*$N$321,0)</f>
        <v>2135</v>
      </c>
      <c r="O112" s="40">
        <f>ROUND(VLOOKUP($A112,'Contribution Allocation_Report'!$A$9:$D$314,4,FALSE)*$O$321,0)</f>
        <v>-5763</v>
      </c>
      <c r="Q112" s="40">
        <f>+VLOOKUP(A112,'Change in Proportion Layers'!$AK$8:$AP$318,2,FALSE)+K112</f>
        <v>101871</v>
      </c>
      <c r="R112" s="40">
        <f>+VLOOKUP(A112,'Change in Proportion Layers'!$AK$8:$AP$318,3,FALSE)+L112</f>
        <v>170592</v>
      </c>
      <c r="S112" s="40">
        <f>+VLOOKUP(A112,'Change in Proportion Layers'!$AK$8:$AP$318,4,FALSE)+M112</f>
        <v>193809</v>
      </c>
      <c r="T112" s="40">
        <f>+VLOOKUP(A112,'Change in Proportion Layers'!$AK$8:$AP$318,5,FALSE)+N112</f>
        <v>173047</v>
      </c>
      <c r="U112" s="40">
        <f>+VLOOKUP(A112,'Change in Proportion Layers'!$AK$8:$AP$318,6,FALSE)+O112+1</f>
        <v>71567</v>
      </c>
      <c r="W112" s="40">
        <f>('OPEB Amounts_Report'!G112-'OPEB Amounts_Report'!M112)</f>
        <v>710886</v>
      </c>
      <c r="X112" s="109">
        <f t="shared" si="11"/>
        <v>0</v>
      </c>
    </row>
    <row r="113" spans="1:24">
      <c r="A113" s="22">
        <v>29125</v>
      </c>
      <c r="B113" s="23" t="s">
        <v>454</v>
      </c>
      <c r="C113" s="37">
        <f t="shared" si="23"/>
        <v>43505</v>
      </c>
      <c r="D113" s="37">
        <f t="shared" si="24"/>
        <v>93902</v>
      </c>
      <c r="E113" s="37">
        <f t="shared" si="25"/>
        <v>164742</v>
      </c>
      <c r="F113" s="37">
        <f t="shared" si="26"/>
        <v>189731</v>
      </c>
      <c r="G113" s="37">
        <f t="shared" si="27"/>
        <v>40663</v>
      </c>
      <c r="I113" s="41"/>
      <c r="K113" s="40">
        <f>ROUND(VLOOKUP($A113,'Contribution Allocation_Report'!$A$9:$D$314,4,FALSE)*$K$321,0)</f>
        <v>-154689</v>
      </c>
      <c r="L113" s="40">
        <f>ROUND(VLOOKUP($A113,'Contribution Allocation_Report'!$A$9:$D$314,4,FALSE)*$L$321,0)</f>
        <v>-104292</v>
      </c>
      <c r="M113" s="40">
        <f>ROUND(VLOOKUP($A113,'Contribution Allocation_Report'!$A$9:$D$314,4,FALSE)*$M$321,0)</f>
        <v>-33452</v>
      </c>
      <c r="N113" s="40">
        <f>ROUND(VLOOKUP($A113,'Contribution Allocation_Report'!$A$9:$D$314,4,FALSE)*$N$321,0)</f>
        <v>1377</v>
      </c>
      <c r="O113" s="40">
        <f>ROUND(VLOOKUP($A113,'Contribution Allocation_Report'!$A$9:$D$314,4,FALSE)*$O$321,0)</f>
        <v>-3717</v>
      </c>
      <c r="Q113" s="40">
        <f>+VLOOKUP(A113,'Change in Proportion Layers'!$AK$8:$AP$318,2,FALSE)+K113</f>
        <v>43505</v>
      </c>
      <c r="R113" s="40">
        <f>+VLOOKUP(A113,'Change in Proportion Layers'!$AK$8:$AP$318,3,FALSE)+L113</f>
        <v>93902</v>
      </c>
      <c r="S113" s="40">
        <f>+VLOOKUP(A113,'Change in Proportion Layers'!$AK$8:$AP$318,4,FALSE)+M113</f>
        <v>164742</v>
      </c>
      <c r="T113" s="40">
        <f>+VLOOKUP(A113,'Change in Proportion Layers'!$AK$8:$AP$318,5,FALSE)+N113</f>
        <v>189731</v>
      </c>
      <c r="U113" s="40">
        <f>+VLOOKUP(A113,'Change in Proportion Layers'!$AK$8:$AP$318,6,FALSE)+O113+1</f>
        <v>40663</v>
      </c>
      <c r="W113" s="40">
        <f>('OPEB Amounts_Report'!G113-'OPEB Amounts_Report'!M113)</f>
        <v>532543</v>
      </c>
      <c r="X113" s="109">
        <f t="shared" ref="X113" si="28">SUM(Q113:U113)-W113</f>
        <v>0</v>
      </c>
    </row>
    <row r="114" spans="1:24">
      <c r="A114" s="24">
        <v>16052</v>
      </c>
      <c r="B114" s="3" t="s">
        <v>100</v>
      </c>
      <c r="C114" s="38">
        <f t="shared" si="12"/>
        <v>-5737985</v>
      </c>
      <c r="D114" s="38">
        <f t="shared" si="13"/>
        <v>-3869838</v>
      </c>
      <c r="E114" s="38">
        <f t="shared" si="14"/>
        <v>-1505870</v>
      </c>
      <c r="F114" s="38">
        <f t="shared" si="15"/>
        <v>-562417</v>
      </c>
      <c r="G114" s="38">
        <f t="shared" si="16"/>
        <v>-352665</v>
      </c>
      <c r="I114" s="41"/>
      <c r="K114" s="40">
        <f>ROUND(VLOOKUP($A114,'Contribution Allocation_Report'!$A$9:$D$314,4,FALSE)*$K$321,0)</f>
        <v>-5110335</v>
      </c>
      <c r="L114" s="40">
        <f>ROUND(VLOOKUP($A114,'Contribution Allocation_Report'!$A$9:$D$314,4,FALSE)*$L$321,0)</f>
        <v>-3445413</v>
      </c>
      <c r="M114" s="40">
        <f>ROUND(VLOOKUP($A114,'Contribution Allocation_Report'!$A$9:$D$314,4,FALSE)*$M$321,0)</f>
        <v>-1105117</v>
      </c>
      <c r="N114" s="40">
        <f>ROUND(VLOOKUP($A114,'Contribution Allocation_Report'!$A$9:$D$314,4,FALSE)*$N$321,0)</f>
        <v>45493</v>
      </c>
      <c r="O114" s="40">
        <f>ROUND(VLOOKUP($A114,'Contribution Allocation_Report'!$A$9:$D$314,4,FALSE)*$O$321,0)</f>
        <v>-122784</v>
      </c>
      <c r="Q114" s="40">
        <f>+VLOOKUP(A114,'Change in Proportion Layers'!$AK$8:$AP$318,2,FALSE)+K114</f>
        <v>-5737985</v>
      </c>
      <c r="R114" s="40">
        <f>+VLOOKUP(A114,'Change in Proportion Layers'!$AK$8:$AP$318,3,FALSE)+L114</f>
        <v>-3869838</v>
      </c>
      <c r="S114" s="40">
        <f>+VLOOKUP(A114,'Change in Proportion Layers'!$AK$8:$AP$318,4,FALSE)+M114</f>
        <v>-1505870</v>
      </c>
      <c r="T114" s="40">
        <f>+VLOOKUP(A114,'Change in Proportion Layers'!$AK$8:$AP$318,5,FALSE)+N114</f>
        <v>-562417</v>
      </c>
      <c r="U114" s="40">
        <f>+VLOOKUP(A114,'Change in Proportion Layers'!$AK$8:$AP$318,6,FALSE)+O114-1</f>
        <v>-352665</v>
      </c>
      <c r="W114" s="40">
        <f>('OPEB Amounts_Report'!G114-'OPEB Amounts_Report'!M114)</f>
        <v>-12028775</v>
      </c>
      <c r="X114" s="109">
        <f t="shared" si="11"/>
        <v>0</v>
      </c>
    </row>
    <row r="115" spans="1:24">
      <c r="A115" s="22">
        <v>11118</v>
      </c>
      <c r="B115" s="23" t="s">
        <v>101</v>
      </c>
      <c r="C115" s="37">
        <f t="shared" si="12"/>
        <v>-168294</v>
      </c>
      <c r="D115" s="37">
        <f t="shared" si="13"/>
        <v>-96051</v>
      </c>
      <c r="E115" s="37">
        <f t="shared" si="14"/>
        <v>-41513</v>
      </c>
      <c r="F115" s="37">
        <f t="shared" si="15"/>
        <v>-10048</v>
      </c>
      <c r="G115" s="37">
        <f t="shared" si="16"/>
        <v>-10213</v>
      </c>
      <c r="I115" s="41"/>
      <c r="K115" s="40">
        <f>ROUND(VLOOKUP($A115,'Contribution Allocation_Report'!$A$9:$D$314,4,FALSE)*$K$321,0)</f>
        <v>-138361</v>
      </c>
      <c r="L115" s="40">
        <f>ROUND(VLOOKUP($A115,'Contribution Allocation_Report'!$A$9:$D$314,4,FALSE)*$L$321,0)</f>
        <v>-93284</v>
      </c>
      <c r="M115" s="40">
        <f>ROUND(VLOOKUP($A115,'Contribution Allocation_Report'!$A$9:$D$314,4,FALSE)*$M$321,0)</f>
        <v>-29921</v>
      </c>
      <c r="N115" s="40">
        <f>ROUND(VLOOKUP($A115,'Contribution Allocation_Report'!$A$9:$D$314,4,FALSE)*$N$321,0)</f>
        <v>1232</v>
      </c>
      <c r="O115" s="40">
        <f>ROUND(VLOOKUP($A115,'Contribution Allocation_Report'!$A$9:$D$314,4,FALSE)*$O$321,0)</f>
        <v>-3324</v>
      </c>
      <c r="Q115" s="40">
        <f>+VLOOKUP(A115,'Change in Proportion Layers'!$AK$8:$AP$318,2,FALSE)+K115</f>
        <v>-168294</v>
      </c>
      <c r="R115" s="40">
        <f>+VLOOKUP(A115,'Change in Proportion Layers'!$AK$8:$AP$318,3,FALSE)+L115</f>
        <v>-96051</v>
      </c>
      <c r="S115" s="40">
        <f>+VLOOKUP(A115,'Change in Proportion Layers'!$AK$8:$AP$318,4,FALSE)+M115</f>
        <v>-41513</v>
      </c>
      <c r="T115" s="40">
        <f>+VLOOKUP(A115,'Change in Proportion Layers'!$AK$8:$AP$318,5,FALSE)+N115</f>
        <v>-10048</v>
      </c>
      <c r="U115" s="40">
        <f>+VLOOKUP(A115,'Change in Proportion Layers'!$AK$8:$AP$318,6,FALSE)+O115-1</f>
        <v>-10213</v>
      </c>
      <c r="W115" s="40">
        <f>('OPEB Amounts_Report'!G115-'OPEB Amounts_Report'!M115)</f>
        <v>-326119</v>
      </c>
      <c r="X115" s="109">
        <f t="shared" si="11"/>
        <v>0</v>
      </c>
    </row>
    <row r="116" spans="1:24">
      <c r="A116" s="24">
        <v>27083</v>
      </c>
      <c r="B116" s="3" t="s">
        <v>102</v>
      </c>
      <c r="C116" s="38">
        <f t="shared" si="12"/>
        <v>-241065</v>
      </c>
      <c r="D116" s="38">
        <f t="shared" si="13"/>
        <v>-156927</v>
      </c>
      <c r="E116" s="38">
        <f t="shared" si="14"/>
        <v>-54941</v>
      </c>
      <c r="F116" s="38">
        <f t="shared" si="15"/>
        <v>5182</v>
      </c>
      <c r="G116" s="38">
        <f t="shared" si="16"/>
        <v>19740</v>
      </c>
      <c r="I116" s="41"/>
      <c r="K116" s="40">
        <f>ROUND(VLOOKUP($A116,'Contribution Allocation_Report'!$A$9:$D$314,4,FALSE)*$K$321,0)</f>
        <v>-223193</v>
      </c>
      <c r="L116" s="40">
        <f>ROUND(VLOOKUP($A116,'Contribution Allocation_Report'!$A$9:$D$314,4,FALSE)*$L$321,0)</f>
        <v>-150478</v>
      </c>
      <c r="M116" s="40">
        <f>ROUND(VLOOKUP($A116,'Contribution Allocation_Report'!$A$9:$D$314,4,FALSE)*$M$321,0)</f>
        <v>-48266</v>
      </c>
      <c r="N116" s="40">
        <f>ROUND(VLOOKUP($A116,'Contribution Allocation_Report'!$A$9:$D$314,4,FALSE)*$N$321,0)</f>
        <v>1987</v>
      </c>
      <c r="O116" s="40">
        <f>ROUND(VLOOKUP($A116,'Contribution Allocation_Report'!$A$9:$D$314,4,FALSE)*$O$321,0)</f>
        <v>-5363</v>
      </c>
      <c r="Q116" s="40">
        <f>+VLOOKUP(A116,'Change in Proportion Layers'!$AK$8:$AP$318,2,FALSE)+K116</f>
        <v>-241065</v>
      </c>
      <c r="R116" s="40">
        <f>+VLOOKUP(A116,'Change in Proportion Layers'!$AK$8:$AP$318,3,FALSE)+L116</f>
        <v>-156927</v>
      </c>
      <c r="S116" s="40">
        <f>+VLOOKUP(A116,'Change in Proportion Layers'!$AK$8:$AP$318,4,FALSE)+M116</f>
        <v>-54941</v>
      </c>
      <c r="T116" s="40">
        <f>+VLOOKUP(A116,'Change in Proportion Layers'!$AK$8:$AP$318,5,FALSE)+N116</f>
        <v>5182</v>
      </c>
      <c r="U116" s="40">
        <f>+VLOOKUP(A116,'Change in Proportion Layers'!$AK$8:$AP$318,6,FALSE)+O116</f>
        <v>19740</v>
      </c>
      <c r="W116" s="40">
        <f>('OPEB Amounts_Report'!G116-'OPEB Amounts_Report'!M116)</f>
        <v>-428011</v>
      </c>
      <c r="X116" s="109">
        <f t="shared" si="11"/>
        <v>0</v>
      </c>
    </row>
    <row r="117" spans="1:24">
      <c r="A117" s="22">
        <v>7021</v>
      </c>
      <c r="B117" s="23" t="s">
        <v>103</v>
      </c>
      <c r="C117" s="37">
        <f t="shared" si="12"/>
        <v>-7354476</v>
      </c>
      <c r="D117" s="37">
        <f t="shared" si="13"/>
        <v>-5235456</v>
      </c>
      <c r="E117" s="37">
        <f t="shared" si="14"/>
        <v>-1678662</v>
      </c>
      <c r="F117" s="37">
        <f t="shared" si="15"/>
        <v>54212</v>
      </c>
      <c r="G117" s="37">
        <f t="shared" si="16"/>
        <v>-24420</v>
      </c>
      <c r="I117" s="41"/>
      <c r="K117" s="40">
        <f>ROUND(VLOOKUP($A117,'Contribution Allocation_Report'!$A$9:$D$314,4,FALSE)*$K$321,0)</f>
        <v>-7258058</v>
      </c>
      <c r="L117" s="40">
        <f>ROUND(VLOOKUP($A117,'Contribution Allocation_Report'!$A$9:$D$314,4,FALSE)*$L$321,0)</f>
        <v>-4893419</v>
      </c>
      <c r="M117" s="40">
        <f>ROUND(VLOOKUP($A117,'Contribution Allocation_Report'!$A$9:$D$314,4,FALSE)*$M$321,0)</f>
        <v>-1569565</v>
      </c>
      <c r="N117" s="40">
        <f>ROUND(VLOOKUP($A117,'Contribution Allocation_Report'!$A$9:$D$314,4,FALSE)*$N$321,0)</f>
        <v>64612</v>
      </c>
      <c r="O117" s="40">
        <f>ROUND(VLOOKUP($A117,'Contribution Allocation_Report'!$A$9:$D$314,4,FALSE)*$O$321,0)</f>
        <v>-174386</v>
      </c>
      <c r="Q117" s="40">
        <f>+VLOOKUP(A117,'Change in Proportion Layers'!$AK$8:$AP$318,2,FALSE)+K117</f>
        <v>-7354476</v>
      </c>
      <c r="R117" s="40">
        <f>+VLOOKUP(A117,'Change in Proportion Layers'!$AK$8:$AP$318,3,FALSE)+L117</f>
        <v>-5235456</v>
      </c>
      <c r="S117" s="40">
        <f>+VLOOKUP(A117,'Change in Proportion Layers'!$AK$8:$AP$318,4,FALSE)+M117</f>
        <v>-1678662</v>
      </c>
      <c r="T117" s="40">
        <f>+VLOOKUP(A117,'Change in Proportion Layers'!$AK$8:$AP$318,5,FALSE)+N117</f>
        <v>54212</v>
      </c>
      <c r="U117" s="40">
        <f>+VLOOKUP(A117,'Change in Proportion Layers'!$AK$8:$AP$318,6,FALSE)+O117-1</f>
        <v>-24420</v>
      </c>
      <c r="W117" s="40">
        <f>('OPEB Amounts_Report'!G117-'OPEB Amounts_Report'!M117)</f>
        <v>-14238802</v>
      </c>
      <c r="X117" s="109">
        <f t="shared" si="11"/>
        <v>0</v>
      </c>
    </row>
    <row r="118" spans="1:24">
      <c r="A118" s="24">
        <v>4140</v>
      </c>
      <c r="B118" s="3" t="s">
        <v>104</v>
      </c>
      <c r="C118" s="38">
        <f t="shared" si="12"/>
        <v>-44451</v>
      </c>
      <c r="D118" s="38">
        <f t="shared" si="13"/>
        <v>-33682</v>
      </c>
      <c r="E118" s="38">
        <f t="shared" si="14"/>
        <v>-8302</v>
      </c>
      <c r="F118" s="38">
        <f t="shared" si="15"/>
        <v>-7274</v>
      </c>
      <c r="G118" s="38">
        <f t="shared" si="16"/>
        <v>-3527</v>
      </c>
      <c r="I118" s="41"/>
      <c r="K118" s="40">
        <f>ROUND(VLOOKUP($A118,'Contribution Allocation_Report'!$A$9:$D$314,4,FALSE)*$K$321,0)</f>
        <v>-45388</v>
      </c>
      <c r="L118" s="40">
        <f>ROUND(VLOOKUP($A118,'Contribution Allocation_Report'!$A$9:$D$314,4,FALSE)*$L$321,0)</f>
        <v>-30601</v>
      </c>
      <c r="M118" s="40">
        <f>ROUND(VLOOKUP($A118,'Contribution Allocation_Report'!$A$9:$D$314,4,FALSE)*$M$321,0)</f>
        <v>-9815</v>
      </c>
      <c r="N118" s="40">
        <f>ROUND(VLOOKUP($A118,'Contribution Allocation_Report'!$A$9:$D$314,4,FALSE)*$N$321,0)</f>
        <v>404</v>
      </c>
      <c r="O118" s="40">
        <f>ROUND(VLOOKUP($A118,'Contribution Allocation_Report'!$A$9:$D$314,4,FALSE)*$O$321,0)</f>
        <v>-1091</v>
      </c>
      <c r="Q118" s="40">
        <f>+VLOOKUP(A118,'Change in Proportion Layers'!$AK$8:$AP$318,2,FALSE)+K118</f>
        <v>-44451</v>
      </c>
      <c r="R118" s="40">
        <f>+VLOOKUP(A118,'Change in Proportion Layers'!$AK$8:$AP$318,3,FALSE)+L118</f>
        <v>-33682</v>
      </c>
      <c r="S118" s="40">
        <f>+VLOOKUP(A118,'Change in Proportion Layers'!$AK$8:$AP$318,4,FALSE)+M118</f>
        <v>-8302</v>
      </c>
      <c r="T118" s="40">
        <f>+VLOOKUP(A118,'Change in Proportion Layers'!$AK$8:$AP$318,5,FALSE)+N118</f>
        <v>-7274</v>
      </c>
      <c r="U118" s="40">
        <f>+VLOOKUP(A118,'Change in Proportion Layers'!$AK$8:$AP$318,6,FALSE)+O118-1</f>
        <v>-3527</v>
      </c>
      <c r="W118" s="40">
        <f>('OPEB Amounts_Report'!G118-'OPEB Amounts_Report'!M118)</f>
        <v>-97236</v>
      </c>
      <c r="X118" s="109">
        <f t="shared" si="11"/>
        <v>0</v>
      </c>
    </row>
    <row r="119" spans="1:24">
      <c r="A119" s="22">
        <v>13041</v>
      </c>
      <c r="B119" s="23" t="s">
        <v>105</v>
      </c>
      <c r="C119" s="37">
        <f t="shared" si="12"/>
        <v>-7289427</v>
      </c>
      <c r="D119" s="37">
        <f t="shared" si="13"/>
        <v>-4703369</v>
      </c>
      <c r="E119" s="37">
        <f t="shared" si="14"/>
        <v>-1637375</v>
      </c>
      <c r="F119" s="37">
        <f t="shared" si="15"/>
        <v>-540604</v>
      </c>
      <c r="G119" s="37">
        <f t="shared" si="16"/>
        <v>-508988</v>
      </c>
      <c r="I119" s="41"/>
      <c r="K119" s="40">
        <f>ROUND(VLOOKUP($A119,'Contribution Allocation_Report'!$A$9:$D$314,4,FALSE)*$K$321,0)</f>
        <v>-6126545</v>
      </c>
      <c r="L119" s="40">
        <f>ROUND(VLOOKUP($A119,'Contribution Allocation_Report'!$A$9:$D$314,4,FALSE)*$L$321,0)</f>
        <v>-4130547</v>
      </c>
      <c r="M119" s="40">
        <f>ROUND(VLOOKUP($A119,'Contribution Allocation_Report'!$A$9:$D$314,4,FALSE)*$M$321,0)</f>
        <v>-1324874</v>
      </c>
      <c r="N119" s="40">
        <f>ROUND(VLOOKUP($A119,'Contribution Allocation_Report'!$A$9:$D$314,4,FALSE)*$N$321,0)</f>
        <v>54539</v>
      </c>
      <c r="O119" s="40">
        <f>ROUND(VLOOKUP($A119,'Contribution Allocation_Report'!$A$9:$D$314,4,FALSE)*$O$321,0)</f>
        <v>-147200</v>
      </c>
      <c r="Q119" s="40">
        <f>+VLOOKUP(A119,'Change in Proportion Layers'!$AK$8:$AP$318,2,FALSE)+K119</f>
        <v>-7289427</v>
      </c>
      <c r="R119" s="40">
        <f>+VLOOKUP(A119,'Change in Proportion Layers'!$AK$8:$AP$318,3,FALSE)+L119</f>
        <v>-4703369</v>
      </c>
      <c r="S119" s="40">
        <f>+VLOOKUP(A119,'Change in Proportion Layers'!$AK$8:$AP$318,4,FALSE)+M119</f>
        <v>-1637375</v>
      </c>
      <c r="T119" s="40">
        <f>+VLOOKUP(A119,'Change in Proportion Layers'!$AK$8:$AP$318,5,FALSE)+N119</f>
        <v>-540604</v>
      </c>
      <c r="U119" s="40">
        <f>+VLOOKUP(A119,'Change in Proportion Layers'!$AK$8:$AP$318,6,FALSE)+O119</f>
        <v>-508988</v>
      </c>
      <c r="W119" s="40">
        <f>('OPEB Amounts_Report'!G119-'OPEB Amounts_Report'!M119)</f>
        <v>-14679763</v>
      </c>
      <c r="X119" s="109">
        <f t="shared" si="11"/>
        <v>0</v>
      </c>
    </row>
    <row r="120" spans="1:24">
      <c r="A120" s="24">
        <v>2339</v>
      </c>
      <c r="B120" s="3" t="s">
        <v>106</v>
      </c>
      <c r="C120" s="38">
        <f t="shared" si="12"/>
        <v>-90897</v>
      </c>
      <c r="D120" s="38">
        <f t="shared" si="13"/>
        <v>-64247</v>
      </c>
      <c r="E120" s="38">
        <f t="shared" si="14"/>
        <v>-4036</v>
      </c>
      <c r="F120" s="38">
        <f t="shared" si="15"/>
        <v>-7085</v>
      </c>
      <c r="G120" s="38">
        <f t="shared" si="16"/>
        <v>-626</v>
      </c>
      <c r="I120" s="41"/>
      <c r="K120" s="40">
        <f>ROUND(VLOOKUP($A120,'Contribution Allocation_Report'!$A$9:$D$314,4,FALSE)*$K$321,0)</f>
        <v>-97880</v>
      </c>
      <c r="L120" s="40">
        <f>ROUND(VLOOKUP($A120,'Contribution Allocation_Report'!$A$9:$D$314,4,FALSE)*$L$321,0)</f>
        <v>-65991</v>
      </c>
      <c r="M120" s="40">
        <f>ROUND(VLOOKUP($A120,'Contribution Allocation_Report'!$A$9:$D$314,4,FALSE)*$M$321,0)</f>
        <v>-21167</v>
      </c>
      <c r="N120" s="40">
        <f>ROUND(VLOOKUP($A120,'Contribution Allocation_Report'!$A$9:$D$314,4,FALSE)*$N$321,0)</f>
        <v>871</v>
      </c>
      <c r="O120" s="40">
        <f>ROUND(VLOOKUP($A120,'Contribution Allocation_Report'!$A$9:$D$314,4,FALSE)*$O$321,0)</f>
        <v>-2352</v>
      </c>
      <c r="Q120" s="40">
        <f>+VLOOKUP(A120,'Change in Proportion Layers'!$AK$8:$AP$318,2,FALSE)+K120</f>
        <v>-90897</v>
      </c>
      <c r="R120" s="40">
        <f>+VLOOKUP(A120,'Change in Proportion Layers'!$AK$8:$AP$318,3,FALSE)+L120</f>
        <v>-64247</v>
      </c>
      <c r="S120" s="40">
        <f>+VLOOKUP(A120,'Change in Proportion Layers'!$AK$8:$AP$318,4,FALSE)+M120</f>
        <v>-4036</v>
      </c>
      <c r="T120" s="40">
        <f>+VLOOKUP(A120,'Change in Proportion Layers'!$AK$8:$AP$318,5,FALSE)+N120</f>
        <v>-7085</v>
      </c>
      <c r="U120" s="40">
        <f>+VLOOKUP(A120,'Change in Proportion Layers'!$AK$8:$AP$318,6,FALSE)+O120+2</f>
        <v>-626</v>
      </c>
      <c r="W120" s="40">
        <f>('OPEB Amounts_Report'!G120-'OPEB Amounts_Report'!M120)</f>
        <v>-166891</v>
      </c>
      <c r="X120" s="109">
        <f t="shared" si="11"/>
        <v>0</v>
      </c>
    </row>
    <row r="121" spans="1:24">
      <c r="A121" s="22">
        <v>2362</v>
      </c>
      <c r="B121" s="23" t="s">
        <v>107</v>
      </c>
      <c r="C121" s="37">
        <f t="shared" si="12"/>
        <v>-230336</v>
      </c>
      <c r="D121" s="37">
        <f t="shared" si="13"/>
        <v>-91426</v>
      </c>
      <c r="E121" s="37">
        <f t="shared" si="14"/>
        <v>-41568</v>
      </c>
      <c r="F121" s="37">
        <f t="shared" si="15"/>
        <v>26927</v>
      </c>
      <c r="G121" s="37">
        <f t="shared" si="16"/>
        <v>13738</v>
      </c>
      <c r="I121" s="41"/>
      <c r="K121" s="40">
        <f>ROUND(VLOOKUP($A121,'Contribution Allocation_Report'!$A$9:$D$314,4,FALSE)*$K$321,0)</f>
        <v>-125602</v>
      </c>
      <c r="L121" s="40">
        <f>ROUND(VLOOKUP($A121,'Contribution Allocation_Report'!$A$9:$D$314,4,FALSE)*$L$321,0)</f>
        <v>-84681</v>
      </c>
      <c r="M121" s="40">
        <f>ROUND(VLOOKUP($A121,'Contribution Allocation_Report'!$A$9:$D$314,4,FALSE)*$M$321,0)</f>
        <v>-27162</v>
      </c>
      <c r="N121" s="40">
        <f>ROUND(VLOOKUP($A121,'Contribution Allocation_Report'!$A$9:$D$314,4,FALSE)*$N$321,0)</f>
        <v>1118</v>
      </c>
      <c r="O121" s="40">
        <f>ROUND(VLOOKUP($A121,'Contribution Allocation_Report'!$A$9:$D$314,4,FALSE)*$O$321,0)</f>
        <v>-3018</v>
      </c>
      <c r="Q121" s="40">
        <f>+VLOOKUP(A121,'Change in Proportion Layers'!$AK$8:$AP$318,2,FALSE)+K121</f>
        <v>-230336</v>
      </c>
      <c r="R121" s="40">
        <f>+VLOOKUP(A121,'Change in Proportion Layers'!$AK$8:$AP$318,3,FALSE)+L121</f>
        <v>-91426</v>
      </c>
      <c r="S121" s="40">
        <f>+VLOOKUP(A121,'Change in Proportion Layers'!$AK$8:$AP$318,4,FALSE)+M121</f>
        <v>-41568</v>
      </c>
      <c r="T121" s="40">
        <f>+VLOOKUP(A121,'Change in Proportion Layers'!$AK$8:$AP$318,5,FALSE)+N121</f>
        <v>26927</v>
      </c>
      <c r="U121" s="40">
        <f>+VLOOKUP(A121,'Change in Proportion Layers'!$AK$8:$AP$318,6,FALSE)+O121+2</f>
        <v>13738</v>
      </c>
      <c r="W121" s="40">
        <f>('OPEB Amounts_Report'!G121-'OPEB Amounts_Report'!M121)</f>
        <v>-322665</v>
      </c>
      <c r="X121" s="109">
        <f t="shared" si="11"/>
        <v>0</v>
      </c>
    </row>
    <row r="122" spans="1:24">
      <c r="A122" s="24">
        <v>5013</v>
      </c>
      <c r="B122" s="3" t="s">
        <v>108</v>
      </c>
      <c r="C122" s="38">
        <f t="shared" si="12"/>
        <v>-113901</v>
      </c>
      <c r="D122" s="38">
        <f t="shared" si="13"/>
        <v>-84807</v>
      </c>
      <c r="E122" s="38">
        <f t="shared" si="14"/>
        <v>-32407</v>
      </c>
      <c r="F122" s="38">
        <f t="shared" si="15"/>
        <v>-13530</v>
      </c>
      <c r="G122" s="38">
        <f t="shared" si="16"/>
        <v>-6994</v>
      </c>
      <c r="I122" s="41"/>
      <c r="K122" s="40">
        <f>ROUND(VLOOKUP($A122,'Contribution Allocation_Report'!$A$9:$D$314,4,FALSE)*$K$321,0)</f>
        <v>-110393</v>
      </c>
      <c r="L122" s="40">
        <f>ROUND(VLOOKUP($A122,'Contribution Allocation_Report'!$A$9:$D$314,4,FALSE)*$L$321,0)</f>
        <v>-74428</v>
      </c>
      <c r="M122" s="40">
        <f>ROUND(VLOOKUP($A122,'Contribution Allocation_Report'!$A$9:$D$314,4,FALSE)*$M$321,0)</f>
        <v>-23873</v>
      </c>
      <c r="N122" s="40">
        <f>ROUND(VLOOKUP($A122,'Contribution Allocation_Report'!$A$9:$D$314,4,FALSE)*$N$321,0)</f>
        <v>983</v>
      </c>
      <c r="O122" s="40">
        <f>ROUND(VLOOKUP($A122,'Contribution Allocation_Report'!$A$9:$D$314,4,FALSE)*$O$321,0)</f>
        <v>-2652</v>
      </c>
      <c r="Q122" s="40">
        <f>+VLOOKUP(A122,'Change in Proportion Layers'!$AK$8:$AP$318,2,FALSE)+K122</f>
        <v>-113901</v>
      </c>
      <c r="R122" s="40">
        <f>+VLOOKUP(A122,'Change in Proportion Layers'!$AK$8:$AP$318,3,FALSE)+L122</f>
        <v>-84807</v>
      </c>
      <c r="S122" s="40">
        <f>+VLOOKUP(A122,'Change in Proportion Layers'!$AK$8:$AP$318,4,FALSE)+M122</f>
        <v>-32407</v>
      </c>
      <c r="T122" s="40">
        <f>+VLOOKUP(A122,'Change in Proportion Layers'!$AK$8:$AP$318,5,FALSE)+N122</f>
        <v>-13530</v>
      </c>
      <c r="U122" s="40">
        <f>+VLOOKUP(A122,'Change in Proportion Layers'!$AK$8:$AP$318,6,FALSE)+O122-1</f>
        <v>-6994</v>
      </c>
      <c r="W122" s="40">
        <f>('OPEB Amounts_Report'!G122-'OPEB Amounts_Report'!M122)</f>
        <v>-251639</v>
      </c>
      <c r="X122" s="109">
        <f t="shared" si="11"/>
        <v>0</v>
      </c>
    </row>
    <row r="123" spans="1:24">
      <c r="A123" s="22">
        <v>3110</v>
      </c>
      <c r="B123" s="23" t="s">
        <v>109</v>
      </c>
      <c r="C123" s="37">
        <f t="shared" si="12"/>
        <v>-660854</v>
      </c>
      <c r="D123" s="37">
        <f t="shared" si="13"/>
        <v>-485323</v>
      </c>
      <c r="E123" s="37">
        <f t="shared" si="14"/>
        <v>-178373</v>
      </c>
      <c r="F123" s="37">
        <f t="shared" si="15"/>
        <v>43953</v>
      </c>
      <c r="G123" s="37">
        <f t="shared" si="16"/>
        <v>7396</v>
      </c>
      <c r="I123" s="41"/>
      <c r="K123" s="40">
        <f>ROUND(VLOOKUP($A123,'Contribution Allocation_Report'!$A$9:$D$314,4,FALSE)*$K$321,0)</f>
        <v>-530930</v>
      </c>
      <c r="L123" s="40">
        <f>ROUND(VLOOKUP($A123,'Contribution Allocation_Report'!$A$9:$D$314,4,FALSE)*$L$321,0)</f>
        <v>-357956</v>
      </c>
      <c r="M123" s="40">
        <f>ROUND(VLOOKUP($A123,'Contribution Allocation_Report'!$A$9:$D$314,4,FALSE)*$M$321,0)</f>
        <v>-114814</v>
      </c>
      <c r="N123" s="40">
        <f>ROUND(VLOOKUP($A123,'Contribution Allocation_Report'!$A$9:$D$314,4,FALSE)*$N$321,0)</f>
        <v>4726</v>
      </c>
      <c r="O123" s="40">
        <f>ROUND(VLOOKUP($A123,'Contribution Allocation_Report'!$A$9:$D$314,4,FALSE)*$O$321,0)</f>
        <v>-12756</v>
      </c>
      <c r="Q123" s="40">
        <f>+VLOOKUP(A123,'Change in Proportion Layers'!$AK$8:$AP$318,2,FALSE)+K123</f>
        <v>-660854</v>
      </c>
      <c r="R123" s="40">
        <f>+VLOOKUP(A123,'Change in Proportion Layers'!$AK$8:$AP$318,3,FALSE)+L123</f>
        <v>-485323</v>
      </c>
      <c r="S123" s="40">
        <f>+VLOOKUP(A123,'Change in Proportion Layers'!$AK$8:$AP$318,4,FALSE)+M123</f>
        <v>-178373</v>
      </c>
      <c r="T123" s="40">
        <f>+VLOOKUP(A123,'Change in Proportion Layers'!$AK$8:$AP$318,5,FALSE)+N123</f>
        <v>43953</v>
      </c>
      <c r="U123" s="40">
        <f>+VLOOKUP(A123,'Change in Proportion Layers'!$AK$8:$AP$318,6,FALSE)+O123</f>
        <v>7396</v>
      </c>
      <c r="W123" s="40">
        <f>('OPEB Amounts_Report'!G123-'OPEB Amounts_Report'!M123)</f>
        <v>-1273201</v>
      </c>
      <c r="X123" s="109">
        <f t="shared" si="11"/>
        <v>0</v>
      </c>
    </row>
    <row r="124" spans="1:24">
      <c r="A124" s="24">
        <v>14044</v>
      </c>
      <c r="B124" s="3" t="s">
        <v>110</v>
      </c>
      <c r="C124" s="38">
        <f t="shared" si="12"/>
        <v>-2023337</v>
      </c>
      <c r="D124" s="38">
        <f t="shared" si="13"/>
        <v>-1378301</v>
      </c>
      <c r="E124" s="38">
        <f t="shared" si="14"/>
        <v>-464825</v>
      </c>
      <c r="F124" s="38">
        <f t="shared" si="15"/>
        <v>-277702</v>
      </c>
      <c r="G124" s="38">
        <f t="shared" si="16"/>
        <v>-282140</v>
      </c>
      <c r="I124" s="41"/>
      <c r="K124" s="40">
        <f>ROUND(VLOOKUP($A124,'Contribution Allocation_Report'!$A$9:$D$314,4,FALSE)*$K$321,0)</f>
        <v>-1710022</v>
      </c>
      <c r="L124" s="40">
        <f>ROUND(VLOOKUP($A124,'Contribution Allocation_Report'!$A$9:$D$314,4,FALSE)*$L$321,0)</f>
        <v>-1152905</v>
      </c>
      <c r="M124" s="40">
        <f>ROUND(VLOOKUP($A124,'Contribution Allocation_Report'!$A$9:$D$314,4,FALSE)*$M$321,0)</f>
        <v>-369795</v>
      </c>
      <c r="N124" s="40">
        <f>ROUND(VLOOKUP($A124,'Contribution Allocation_Report'!$A$9:$D$314,4,FALSE)*$N$321,0)</f>
        <v>15223</v>
      </c>
      <c r="O124" s="40">
        <f>ROUND(VLOOKUP($A124,'Contribution Allocation_Report'!$A$9:$D$314,4,FALSE)*$O$321,0)</f>
        <v>-41086</v>
      </c>
      <c r="Q124" s="40">
        <f>+VLOOKUP(A124,'Change in Proportion Layers'!$AK$8:$AP$318,2,FALSE)+K124</f>
        <v>-2023337</v>
      </c>
      <c r="R124" s="40">
        <f>+VLOOKUP(A124,'Change in Proportion Layers'!$AK$8:$AP$318,3,FALSE)+L124</f>
        <v>-1378301</v>
      </c>
      <c r="S124" s="40">
        <f>+VLOOKUP(A124,'Change in Proportion Layers'!$AK$8:$AP$318,4,FALSE)+M124</f>
        <v>-464825</v>
      </c>
      <c r="T124" s="40">
        <f>+VLOOKUP(A124,'Change in Proportion Layers'!$AK$8:$AP$318,5,FALSE)+N124</f>
        <v>-277702</v>
      </c>
      <c r="U124" s="40">
        <f>+VLOOKUP(A124,'Change in Proportion Layers'!$AK$8:$AP$318,6,FALSE)+O124</f>
        <v>-282140</v>
      </c>
      <c r="W124" s="40">
        <f>('OPEB Amounts_Report'!G124-'OPEB Amounts_Report'!M124)</f>
        <v>-4426305</v>
      </c>
      <c r="X124" s="109">
        <f t="shared" si="11"/>
        <v>0</v>
      </c>
    </row>
    <row r="125" spans="1:24">
      <c r="A125" s="22">
        <v>4009</v>
      </c>
      <c r="B125" s="23" t="s">
        <v>111</v>
      </c>
      <c r="C125" s="37">
        <f t="shared" si="12"/>
        <v>-285882</v>
      </c>
      <c r="D125" s="37">
        <f t="shared" si="13"/>
        <v>-181737</v>
      </c>
      <c r="E125" s="37">
        <f t="shared" si="14"/>
        <v>-30839</v>
      </c>
      <c r="F125" s="37">
        <f t="shared" si="15"/>
        <v>32103</v>
      </c>
      <c r="G125" s="37">
        <f t="shared" si="16"/>
        <v>-12916</v>
      </c>
      <c r="I125" s="41"/>
      <c r="K125" s="40">
        <f>ROUND(VLOOKUP($A125,'Contribution Allocation_Report'!$A$9:$D$314,4,FALSE)*$K$321,0)</f>
        <v>-253349</v>
      </c>
      <c r="L125" s="40">
        <f>ROUND(VLOOKUP($A125,'Contribution Allocation_Report'!$A$9:$D$314,4,FALSE)*$L$321,0)</f>
        <v>-170809</v>
      </c>
      <c r="M125" s="40">
        <f>ROUND(VLOOKUP($A125,'Contribution Allocation_Report'!$A$9:$D$314,4,FALSE)*$M$321,0)</f>
        <v>-54787</v>
      </c>
      <c r="N125" s="40">
        <f>ROUND(VLOOKUP($A125,'Contribution Allocation_Report'!$A$9:$D$314,4,FALSE)*$N$321,0)</f>
        <v>2255</v>
      </c>
      <c r="O125" s="40">
        <f>ROUND(VLOOKUP($A125,'Contribution Allocation_Report'!$A$9:$D$314,4,FALSE)*$O$321,0)</f>
        <v>-6087</v>
      </c>
      <c r="Q125" s="40">
        <f>+VLOOKUP(A125,'Change in Proportion Layers'!$AK$8:$AP$318,2,FALSE)+K125</f>
        <v>-285882</v>
      </c>
      <c r="R125" s="40">
        <f>+VLOOKUP(A125,'Change in Proportion Layers'!$AK$8:$AP$318,3,FALSE)+L125</f>
        <v>-181737</v>
      </c>
      <c r="S125" s="40">
        <f>+VLOOKUP(A125,'Change in Proportion Layers'!$AK$8:$AP$318,4,FALSE)+M125</f>
        <v>-30839</v>
      </c>
      <c r="T125" s="40">
        <f>+VLOOKUP(A125,'Change in Proportion Layers'!$AK$8:$AP$318,5,FALSE)+N125</f>
        <v>32103</v>
      </c>
      <c r="U125" s="40">
        <f>+VLOOKUP(A125,'Change in Proportion Layers'!$AK$8:$AP$318,6,FALSE)+O125</f>
        <v>-12916</v>
      </c>
      <c r="W125" s="40">
        <f>('OPEB Amounts_Report'!G125-'OPEB Amounts_Report'!M125)</f>
        <v>-479271</v>
      </c>
      <c r="X125" s="109">
        <f t="shared" si="11"/>
        <v>0</v>
      </c>
    </row>
    <row r="126" spans="1:24">
      <c r="A126" s="24">
        <v>7022</v>
      </c>
      <c r="B126" s="3" t="s">
        <v>112</v>
      </c>
      <c r="C126" s="38">
        <f t="shared" si="12"/>
        <v>-634542</v>
      </c>
      <c r="D126" s="38">
        <f t="shared" si="13"/>
        <v>-383787</v>
      </c>
      <c r="E126" s="38">
        <f t="shared" si="14"/>
        <v>-140764</v>
      </c>
      <c r="F126" s="38">
        <f t="shared" si="15"/>
        <v>-44068</v>
      </c>
      <c r="G126" s="38">
        <f t="shared" si="16"/>
        <v>-9086</v>
      </c>
      <c r="I126" s="41"/>
      <c r="K126" s="40">
        <f>ROUND(VLOOKUP($A126,'Contribution Allocation_Report'!$A$9:$D$314,4,FALSE)*$K$321,0)</f>
        <v>-748061</v>
      </c>
      <c r="L126" s="40">
        <f>ROUND(VLOOKUP($A126,'Contribution Allocation_Report'!$A$9:$D$314,4,FALSE)*$L$321,0)</f>
        <v>-504347</v>
      </c>
      <c r="M126" s="40">
        <f>ROUND(VLOOKUP($A126,'Contribution Allocation_Report'!$A$9:$D$314,4,FALSE)*$M$321,0)</f>
        <v>-161769</v>
      </c>
      <c r="N126" s="40">
        <f>ROUND(VLOOKUP($A126,'Contribution Allocation_Report'!$A$9:$D$314,4,FALSE)*$N$321,0)</f>
        <v>6659</v>
      </c>
      <c r="O126" s="40">
        <f>ROUND(VLOOKUP($A126,'Contribution Allocation_Report'!$A$9:$D$314,4,FALSE)*$O$321,0)</f>
        <v>-17973</v>
      </c>
      <c r="Q126" s="40">
        <f>+VLOOKUP(A126,'Change in Proportion Layers'!$AK$8:$AP$318,2,FALSE)+K126</f>
        <v>-634542</v>
      </c>
      <c r="R126" s="40">
        <f>+VLOOKUP(A126,'Change in Proportion Layers'!$AK$8:$AP$318,3,FALSE)+L126</f>
        <v>-383787</v>
      </c>
      <c r="S126" s="40">
        <f>+VLOOKUP(A126,'Change in Proportion Layers'!$AK$8:$AP$318,4,FALSE)+M126</f>
        <v>-140764</v>
      </c>
      <c r="T126" s="40">
        <f>+VLOOKUP(A126,'Change in Proportion Layers'!$AK$8:$AP$318,5,FALSE)+N126</f>
        <v>-44068</v>
      </c>
      <c r="U126" s="40">
        <f>+VLOOKUP(A126,'Change in Proportion Layers'!$AK$8:$AP$318,6,FALSE)+O126</f>
        <v>-9086</v>
      </c>
      <c r="W126" s="40">
        <f>('OPEB Amounts_Report'!G126-'OPEB Amounts_Report'!M126)</f>
        <v>-1212247</v>
      </c>
      <c r="X126" s="109">
        <f t="shared" si="11"/>
        <v>0</v>
      </c>
    </row>
    <row r="127" spans="1:24">
      <c r="A127" s="22">
        <v>2430</v>
      </c>
      <c r="B127" s="23" t="s">
        <v>113</v>
      </c>
      <c r="C127" s="37">
        <f t="shared" si="12"/>
        <v>-118002</v>
      </c>
      <c r="D127" s="37">
        <f t="shared" si="13"/>
        <v>-81312</v>
      </c>
      <c r="E127" s="37">
        <f t="shared" si="14"/>
        <v>-39154</v>
      </c>
      <c r="F127" s="37">
        <f t="shared" si="15"/>
        <v>-17502</v>
      </c>
      <c r="G127" s="37">
        <f t="shared" si="16"/>
        <v>-7938</v>
      </c>
      <c r="I127" s="41"/>
      <c r="K127" s="40">
        <f>ROUND(VLOOKUP($A127,'Contribution Allocation_Report'!$A$9:$D$314,4,FALSE)*$K$321,0)</f>
        <v>-88703</v>
      </c>
      <c r="L127" s="40">
        <f>ROUND(VLOOKUP($A127,'Contribution Allocation_Report'!$A$9:$D$314,4,FALSE)*$L$321,0)</f>
        <v>-59804</v>
      </c>
      <c r="M127" s="40">
        <f>ROUND(VLOOKUP($A127,'Contribution Allocation_Report'!$A$9:$D$314,4,FALSE)*$M$321,0)</f>
        <v>-19182</v>
      </c>
      <c r="N127" s="40">
        <f>ROUND(VLOOKUP($A127,'Contribution Allocation_Report'!$A$9:$D$314,4,FALSE)*$N$321,0)</f>
        <v>790</v>
      </c>
      <c r="O127" s="40">
        <f>ROUND(VLOOKUP($A127,'Contribution Allocation_Report'!$A$9:$D$314,4,FALSE)*$O$321,0)</f>
        <v>-2131</v>
      </c>
      <c r="Q127" s="40">
        <f>+VLOOKUP(A127,'Change in Proportion Layers'!$AK$8:$AP$318,2,FALSE)+K127</f>
        <v>-118002</v>
      </c>
      <c r="R127" s="40">
        <f>+VLOOKUP(A127,'Change in Proportion Layers'!$AK$8:$AP$318,3,FALSE)+L127</f>
        <v>-81312</v>
      </c>
      <c r="S127" s="40">
        <f>+VLOOKUP(A127,'Change in Proportion Layers'!$AK$8:$AP$318,4,FALSE)+M127</f>
        <v>-39154</v>
      </c>
      <c r="T127" s="40">
        <f>+VLOOKUP(A127,'Change in Proportion Layers'!$AK$8:$AP$318,5,FALSE)+N127</f>
        <v>-17502</v>
      </c>
      <c r="U127" s="40">
        <f>+VLOOKUP(A127,'Change in Proportion Layers'!$AK$8:$AP$318,6,FALSE)+O127+1</f>
        <v>-7938</v>
      </c>
      <c r="W127" s="40">
        <f>('OPEB Amounts_Report'!G127-'OPEB Amounts_Report'!M127)</f>
        <v>-263908</v>
      </c>
      <c r="X127" s="109">
        <f t="shared" si="11"/>
        <v>0</v>
      </c>
    </row>
    <row r="128" spans="1:24">
      <c r="A128" s="24">
        <v>9150</v>
      </c>
      <c r="B128" s="3" t="s">
        <v>114</v>
      </c>
      <c r="C128" s="38">
        <f t="shared" si="12"/>
        <v>-78436</v>
      </c>
      <c r="D128" s="38">
        <f t="shared" si="13"/>
        <v>-46875</v>
      </c>
      <c r="E128" s="38">
        <f t="shared" si="14"/>
        <v>-22005</v>
      </c>
      <c r="F128" s="38">
        <f t="shared" si="15"/>
        <v>-2729</v>
      </c>
      <c r="G128" s="38">
        <f t="shared" si="16"/>
        <v>-9220</v>
      </c>
      <c r="I128" s="41"/>
      <c r="K128" s="40">
        <f>ROUND(VLOOKUP($A128,'Contribution Allocation_Report'!$A$9:$D$314,4,FALSE)*$K$321,0)</f>
        <v>-44284</v>
      </c>
      <c r="L128" s="40">
        <f>ROUND(VLOOKUP($A128,'Contribution Allocation_Report'!$A$9:$D$314,4,FALSE)*$L$321,0)</f>
        <v>-29856</v>
      </c>
      <c r="M128" s="40">
        <f>ROUND(VLOOKUP($A128,'Contribution Allocation_Report'!$A$9:$D$314,4,FALSE)*$M$321,0)</f>
        <v>-9576</v>
      </c>
      <c r="N128" s="40">
        <f>ROUND(VLOOKUP($A128,'Contribution Allocation_Report'!$A$9:$D$314,4,FALSE)*$N$321,0)</f>
        <v>394</v>
      </c>
      <c r="O128" s="40">
        <f>ROUND(VLOOKUP($A128,'Contribution Allocation_Report'!$A$9:$D$314,4,FALSE)*$O$321,0)</f>
        <v>-1064</v>
      </c>
      <c r="Q128" s="40">
        <f>+VLOOKUP(A128,'Change in Proportion Layers'!$AK$8:$AP$318,2,FALSE)+K128</f>
        <v>-78436</v>
      </c>
      <c r="R128" s="40">
        <f>+VLOOKUP(A128,'Change in Proportion Layers'!$AK$8:$AP$318,3,FALSE)+L128</f>
        <v>-46875</v>
      </c>
      <c r="S128" s="40">
        <f>+VLOOKUP(A128,'Change in Proportion Layers'!$AK$8:$AP$318,4,FALSE)+M128</f>
        <v>-22005</v>
      </c>
      <c r="T128" s="40">
        <f>+VLOOKUP(A128,'Change in Proportion Layers'!$AK$8:$AP$318,5,FALSE)+N128</f>
        <v>-2729</v>
      </c>
      <c r="U128" s="40">
        <f>+VLOOKUP(A128,'Change in Proportion Layers'!$AK$8:$AP$318,6,FALSE)+O128-2</f>
        <v>-9220</v>
      </c>
      <c r="W128" s="40">
        <f>('OPEB Amounts_Report'!G128-'OPEB Amounts_Report'!M128)</f>
        <v>-159265</v>
      </c>
      <c r="X128" s="109">
        <f t="shared" si="11"/>
        <v>0</v>
      </c>
    </row>
    <row r="129" spans="1:24">
      <c r="A129" s="22">
        <v>6017</v>
      </c>
      <c r="B129" s="23" t="s">
        <v>115</v>
      </c>
      <c r="C129" s="37">
        <f t="shared" si="12"/>
        <v>-4442851</v>
      </c>
      <c r="D129" s="37">
        <f t="shared" si="13"/>
        <v>-3531047</v>
      </c>
      <c r="E129" s="37">
        <f t="shared" si="14"/>
        <v>-1140880</v>
      </c>
      <c r="F129" s="37">
        <f t="shared" si="15"/>
        <v>-299307</v>
      </c>
      <c r="G129" s="37">
        <f t="shared" si="16"/>
        <v>-174273</v>
      </c>
      <c r="I129" s="41"/>
      <c r="K129" s="40">
        <f>ROUND(VLOOKUP($A129,'Contribution Allocation_Report'!$A$9:$D$314,4,FALSE)*$K$321,0)</f>
        <v>-5057450</v>
      </c>
      <c r="L129" s="40">
        <f>ROUND(VLOOKUP($A129,'Contribution Allocation_Report'!$A$9:$D$314,4,FALSE)*$L$321,0)</f>
        <v>-3409758</v>
      </c>
      <c r="M129" s="40">
        <f>ROUND(VLOOKUP($A129,'Contribution Allocation_Report'!$A$9:$D$314,4,FALSE)*$M$321,0)</f>
        <v>-1093681</v>
      </c>
      <c r="N129" s="40">
        <f>ROUND(VLOOKUP($A129,'Contribution Allocation_Report'!$A$9:$D$314,4,FALSE)*$N$321,0)</f>
        <v>45022</v>
      </c>
      <c r="O129" s="40">
        <f>ROUND(VLOOKUP($A129,'Contribution Allocation_Report'!$A$9:$D$314,4,FALSE)*$O$321,0)</f>
        <v>-121513</v>
      </c>
      <c r="Q129" s="40">
        <f>+VLOOKUP(A129,'Change in Proportion Layers'!$AK$8:$AP$318,2,FALSE)+K129</f>
        <v>-4442851</v>
      </c>
      <c r="R129" s="40">
        <f>+VLOOKUP(A129,'Change in Proportion Layers'!$AK$8:$AP$318,3,FALSE)+L129</f>
        <v>-3531047</v>
      </c>
      <c r="S129" s="40">
        <f>+VLOOKUP(A129,'Change in Proportion Layers'!$AK$8:$AP$318,4,FALSE)+M129</f>
        <v>-1140880</v>
      </c>
      <c r="T129" s="40">
        <f>+VLOOKUP(A129,'Change in Proportion Layers'!$AK$8:$AP$318,5,FALSE)+N129</f>
        <v>-299307</v>
      </c>
      <c r="U129" s="40">
        <f>+VLOOKUP(A129,'Change in Proportion Layers'!$AK$8:$AP$318,6,FALSE)+O129</f>
        <v>-174273</v>
      </c>
      <c r="W129" s="40">
        <f>('OPEB Amounts_Report'!G129-'OPEB Amounts_Report'!M129)</f>
        <v>-9588358</v>
      </c>
      <c r="X129" s="109">
        <f t="shared" si="11"/>
        <v>0</v>
      </c>
    </row>
    <row r="130" spans="1:24">
      <c r="A130" s="24">
        <v>26080</v>
      </c>
      <c r="B130" s="3" t="s">
        <v>116</v>
      </c>
      <c r="C130" s="38">
        <f t="shared" si="12"/>
        <v>-118093</v>
      </c>
      <c r="D130" s="38">
        <f t="shared" si="13"/>
        <v>-104827</v>
      </c>
      <c r="E130" s="38">
        <f t="shared" si="14"/>
        <v>-87366</v>
      </c>
      <c r="F130" s="38">
        <f t="shared" si="15"/>
        <v>-45876</v>
      </c>
      <c r="G130" s="38">
        <f t="shared" si="16"/>
        <v>-38135</v>
      </c>
      <c r="I130" s="41"/>
      <c r="K130" s="40">
        <f>ROUND(VLOOKUP($A130,'Contribution Allocation_Report'!$A$9:$D$314,4,FALSE)*$K$321,0)</f>
        <v>-111966</v>
      </c>
      <c r="L130" s="40">
        <f>ROUND(VLOOKUP($A130,'Contribution Allocation_Report'!$A$9:$D$314,4,FALSE)*$L$321,0)</f>
        <v>-75488</v>
      </c>
      <c r="M130" s="40">
        <f>ROUND(VLOOKUP($A130,'Contribution Allocation_Report'!$A$9:$D$314,4,FALSE)*$M$321,0)</f>
        <v>-24213</v>
      </c>
      <c r="N130" s="40">
        <f>ROUND(VLOOKUP($A130,'Contribution Allocation_Report'!$A$9:$D$314,4,FALSE)*$N$321,0)</f>
        <v>997</v>
      </c>
      <c r="O130" s="40">
        <f>ROUND(VLOOKUP($A130,'Contribution Allocation_Report'!$A$9:$D$314,4,FALSE)*$O$321,0)</f>
        <v>-2690</v>
      </c>
      <c r="Q130" s="40">
        <f>+VLOOKUP(A130,'Change in Proportion Layers'!$AK$8:$AP$318,2,FALSE)+K130</f>
        <v>-118093</v>
      </c>
      <c r="R130" s="40">
        <f>+VLOOKUP(A130,'Change in Proportion Layers'!$AK$8:$AP$318,3,FALSE)+L130</f>
        <v>-104827</v>
      </c>
      <c r="S130" s="40">
        <f>+VLOOKUP(A130,'Change in Proportion Layers'!$AK$8:$AP$318,4,FALSE)+M130</f>
        <v>-87366</v>
      </c>
      <c r="T130" s="40">
        <f>+VLOOKUP(A130,'Change in Proportion Layers'!$AK$8:$AP$318,5,FALSE)+N130</f>
        <v>-45876</v>
      </c>
      <c r="U130" s="40">
        <f>+VLOOKUP(A130,'Change in Proportion Layers'!$AK$8:$AP$318,6,FALSE)+O130</f>
        <v>-38135</v>
      </c>
      <c r="W130" s="40">
        <f>('OPEB Amounts_Report'!G130-'OPEB Amounts_Report'!M130)</f>
        <v>-394297</v>
      </c>
      <c r="X130" s="109">
        <f t="shared" si="11"/>
        <v>0</v>
      </c>
    </row>
    <row r="131" spans="1:24">
      <c r="A131" s="22">
        <v>2327</v>
      </c>
      <c r="B131" s="23" t="s">
        <v>117</v>
      </c>
      <c r="C131" s="37">
        <f t="shared" si="12"/>
        <v>-204153</v>
      </c>
      <c r="D131" s="37">
        <f t="shared" si="13"/>
        <v>-110078</v>
      </c>
      <c r="E131" s="37">
        <f t="shared" si="14"/>
        <v>-27203</v>
      </c>
      <c r="F131" s="37">
        <f t="shared" si="15"/>
        <v>345</v>
      </c>
      <c r="G131" s="37">
        <f t="shared" si="16"/>
        <v>-9127</v>
      </c>
      <c r="I131" s="41"/>
      <c r="K131" s="40">
        <f>ROUND(VLOOKUP($A131,'Contribution Allocation_Report'!$A$9:$D$314,4,FALSE)*$K$321,0)</f>
        <v>-184014</v>
      </c>
      <c r="L131" s="40">
        <f>ROUND(VLOOKUP($A131,'Contribution Allocation_Report'!$A$9:$D$314,4,FALSE)*$L$321,0)</f>
        <v>-124063</v>
      </c>
      <c r="M131" s="40">
        <f>ROUND(VLOOKUP($A131,'Contribution Allocation_Report'!$A$9:$D$314,4,FALSE)*$M$321,0)</f>
        <v>-39793</v>
      </c>
      <c r="N131" s="40">
        <f>ROUND(VLOOKUP($A131,'Contribution Allocation_Report'!$A$9:$D$314,4,FALSE)*$N$321,0)</f>
        <v>1638</v>
      </c>
      <c r="O131" s="40">
        <f>ROUND(VLOOKUP($A131,'Contribution Allocation_Report'!$A$9:$D$314,4,FALSE)*$O$321,0)</f>
        <v>-4421</v>
      </c>
      <c r="Q131" s="40">
        <f>+VLOOKUP(A131,'Change in Proportion Layers'!$AK$8:$AP$318,2,FALSE)+K131</f>
        <v>-204153</v>
      </c>
      <c r="R131" s="40">
        <f>+VLOOKUP(A131,'Change in Proportion Layers'!$AK$8:$AP$318,3,FALSE)+L131</f>
        <v>-110078</v>
      </c>
      <c r="S131" s="40">
        <f>+VLOOKUP(A131,'Change in Proportion Layers'!$AK$8:$AP$318,4,FALSE)+M131</f>
        <v>-27203</v>
      </c>
      <c r="T131" s="40">
        <f>+VLOOKUP(A131,'Change in Proportion Layers'!$AK$8:$AP$318,5,FALSE)+N131</f>
        <v>345</v>
      </c>
      <c r="U131" s="40">
        <f>+VLOOKUP(A131,'Change in Proportion Layers'!$AK$8:$AP$318,6,FALSE)+O131+1</f>
        <v>-9127</v>
      </c>
      <c r="W131" s="40">
        <f>('OPEB Amounts_Report'!G131-'OPEB Amounts_Report'!M131)</f>
        <v>-350216</v>
      </c>
      <c r="X131" s="109">
        <f t="shared" si="11"/>
        <v>0</v>
      </c>
    </row>
    <row r="132" spans="1:24">
      <c r="A132" s="24">
        <v>10119</v>
      </c>
      <c r="B132" s="3" t="s">
        <v>118</v>
      </c>
      <c r="C132" s="38">
        <f t="shared" si="12"/>
        <v>-98003</v>
      </c>
      <c r="D132" s="38">
        <f t="shared" si="13"/>
        <v>-71028</v>
      </c>
      <c r="E132" s="38">
        <f t="shared" si="14"/>
        <v>-17241</v>
      </c>
      <c r="F132" s="38">
        <f t="shared" si="15"/>
        <v>-7072</v>
      </c>
      <c r="G132" s="38">
        <f t="shared" si="16"/>
        <v>1877</v>
      </c>
      <c r="I132" s="41"/>
      <c r="K132" s="40">
        <f>ROUND(VLOOKUP($A132,'Contribution Allocation_Report'!$A$9:$D$314,4,FALSE)*$K$321,0)</f>
        <v>-91539</v>
      </c>
      <c r="L132" s="40">
        <f>ROUND(VLOOKUP($A132,'Contribution Allocation_Report'!$A$9:$D$314,4,FALSE)*$L$321,0)</f>
        <v>-61716</v>
      </c>
      <c r="M132" s="40">
        <f>ROUND(VLOOKUP($A132,'Contribution Allocation_Report'!$A$9:$D$314,4,FALSE)*$M$321,0)</f>
        <v>-19795</v>
      </c>
      <c r="N132" s="40">
        <f>ROUND(VLOOKUP($A132,'Contribution Allocation_Report'!$A$9:$D$314,4,FALSE)*$N$321,0)</f>
        <v>815</v>
      </c>
      <c r="O132" s="40">
        <f>ROUND(VLOOKUP($A132,'Contribution Allocation_Report'!$A$9:$D$314,4,FALSE)*$O$321,0)</f>
        <v>-2199</v>
      </c>
      <c r="Q132" s="40">
        <f>+VLOOKUP(A132,'Change in Proportion Layers'!$AK$8:$AP$318,2,FALSE)+K132</f>
        <v>-98003</v>
      </c>
      <c r="R132" s="40">
        <f>+VLOOKUP(A132,'Change in Proportion Layers'!$AK$8:$AP$318,3,FALSE)+L132</f>
        <v>-71028</v>
      </c>
      <c r="S132" s="40">
        <f>+VLOOKUP(A132,'Change in Proportion Layers'!$AK$8:$AP$318,4,FALSE)+M132</f>
        <v>-17241</v>
      </c>
      <c r="T132" s="40">
        <f>+VLOOKUP(A132,'Change in Proportion Layers'!$AK$8:$AP$318,5,FALSE)+N132</f>
        <v>-7072</v>
      </c>
      <c r="U132" s="40">
        <f>+VLOOKUP(A132,'Change in Proportion Layers'!$AK$8:$AP$318,6,FALSE)+O132+1</f>
        <v>1877</v>
      </c>
      <c r="W132" s="40">
        <f>('OPEB Amounts_Report'!G132-'OPEB Amounts_Report'!M132)</f>
        <v>-191467</v>
      </c>
      <c r="X132" s="109">
        <f t="shared" si="11"/>
        <v>0</v>
      </c>
    </row>
    <row r="133" spans="1:24">
      <c r="A133" s="22">
        <v>13436</v>
      </c>
      <c r="B133" s="23" t="s">
        <v>394</v>
      </c>
      <c r="C133" s="37">
        <f t="shared" si="12"/>
        <v>77247</v>
      </c>
      <c r="D133" s="37">
        <f t="shared" si="13"/>
        <v>140216</v>
      </c>
      <c r="E133" s="37">
        <f t="shared" si="14"/>
        <v>222265</v>
      </c>
      <c r="F133" s="37">
        <f t="shared" si="15"/>
        <v>194726</v>
      </c>
      <c r="G133" s="37">
        <f t="shared" si="16"/>
        <v>12315</v>
      </c>
      <c r="I133" s="41"/>
      <c r="K133" s="40">
        <f>ROUND(VLOOKUP($A133,'Contribution Allocation_Report'!$A$9:$D$314,4,FALSE)*$K$321,0)</f>
        <v>-471534</v>
      </c>
      <c r="L133" s="40">
        <f>ROUND(VLOOKUP($A133,'Contribution Allocation_Report'!$A$9:$D$314,4,FALSE)*$L$321,0)</f>
        <v>-317910</v>
      </c>
      <c r="M133" s="40">
        <f>ROUND(VLOOKUP($A133,'Contribution Allocation_Report'!$A$9:$D$314,4,FALSE)*$M$321,0)</f>
        <v>-101970</v>
      </c>
      <c r="N133" s="40">
        <f>ROUND(VLOOKUP($A133,'Contribution Allocation_Report'!$A$9:$D$314,4,FALSE)*$N$321,0)</f>
        <v>4198</v>
      </c>
      <c r="O133" s="40">
        <f>ROUND(VLOOKUP($A133,'Contribution Allocation_Report'!$A$9:$D$314,4,FALSE)*$O$321,0)</f>
        <v>-11329</v>
      </c>
      <c r="Q133" s="40">
        <f>+VLOOKUP(A133,'Change in Proportion Layers'!$AK$8:$AP$318,2,FALSE)+K133</f>
        <v>77247</v>
      </c>
      <c r="R133" s="40">
        <f>+VLOOKUP(A133,'Change in Proportion Layers'!$AK$8:$AP$318,3,FALSE)+L133</f>
        <v>140216</v>
      </c>
      <c r="S133" s="40">
        <f>+VLOOKUP(A133,'Change in Proportion Layers'!$AK$8:$AP$318,4,FALSE)+M133</f>
        <v>222265</v>
      </c>
      <c r="T133" s="40">
        <f>+VLOOKUP(A133,'Change in Proportion Layers'!$AK$8:$AP$318,5,FALSE)+N133</f>
        <v>194726</v>
      </c>
      <c r="U133" s="40">
        <f>+VLOOKUP(A133,'Change in Proportion Layers'!$AK$8:$AP$318,6,FALSE)+O133+1</f>
        <v>12315</v>
      </c>
      <c r="W133" s="40">
        <f>('OPEB Amounts_Report'!G133-'OPEB Amounts_Report'!M133)</f>
        <v>646769</v>
      </c>
      <c r="X133" s="109">
        <f t="shared" si="11"/>
        <v>0</v>
      </c>
    </row>
    <row r="134" spans="1:24">
      <c r="A134" s="24">
        <v>2368</v>
      </c>
      <c r="B134" s="3" t="s">
        <v>119</v>
      </c>
      <c r="C134" s="38">
        <f t="shared" si="12"/>
        <v>-120912</v>
      </c>
      <c r="D134" s="38">
        <f t="shared" si="13"/>
        <v>-149009</v>
      </c>
      <c r="E134" s="38">
        <f t="shared" si="14"/>
        <v>-10799</v>
      </c>
      <c r="F134" s="38">
        <f t="shared" si="15"/>
        <v>4230</v>
      </c>
      <c r="G134" s="38">
        <f t="shared" si="16"/>
        <v>6516</v>
      </c>
      <c r="I134" s="41"/>
      <c r="K134" s="40">
        <f>ROUND(VLOOKUP($A134,'Contribution Allocation_Report'!$A$9:$D$314,4,FALSE)*$K$321,0)</f>
        <v>-195720</v>
      </c>
      <c r="L134" s="40">
        <f>ROUND(VLOOKUP($A134,'Contribution Allocation_Report'!$A$9:$D$314,4,FALSE)*$L$321,0)</f>
        <v>-131955</v>
      </c>
      <c r="M134" s="40">
        <f>ROUND(VLOOKUP($A134,'Contribution Allocation_Report'!$A$9:$D$314,4,FALSE)*$M$321,0)</f>
        <v>-42325</v>
      </c>
      <c r="N134" s="40">
        <f>ROUND(VLOOKUP($A134,'Contribution Allocation_Report'!$A$9:$D$314,4,FALSE)*$N$321,0)</f>
        <v>1742</v>
      </c>
      <c r="O134" s="40">
        <f>ROUND(VLOOKUP($A134,'Contribution Allocation_Report'!$A$9:$D$314,4,FALSE)*$O$321,0)</f>
        <v>-4702</v>
      </c>
      <c r="Q134" s="40">
        <f>+VLOOKUP(A134,'Change in Proportion Layers'!$AK$8:$AP$318,2,FALSE)+K134</f>
        <v>-120912</v>
      </c>
      <c r="R134" s="40">
        <f>+VLOOKUP(A134,'Change in Proportion Layers'!$AK$8:$AP$318,3,FALSE)+L134</f>
        <v>-149009</v>
      </c>
      <c r="S134" s="40">
        <f>+VLOOKUP(A134,'Change in Proportion Layers'!$AK$8:$AP$318,4,FALSE)+M134</f>
        <v>-10799</v>
      </c>
      <c r="T134" s="40">
        <f>+VLOOKUP(A134,'Change in Proportion Layers'!$AK$8:$AP$318,5,FALSE)+N134</f>
        <v>4230</v>
      </c>
      <c r="U134" s="40">
        <f>+VLOOKUP(A134,'Change in Proportion Layers'!$AK$8:$AP$318,6,FALSE)+O134-1</f>
        <v>6516</v>
      </c>
      <c r="W134" s="40">
        <f>('OPEB Amounts_Report'!G134-'OPEB Amounts_Report'!M134)</f>
        <v>-269974</v>
      </c>
      <c r="X134" s="109">
        <f t="shared" si="11"/>
        <v>0</v>
      </c>
    </row>
    <row r="135" spans="1:24">
      <c r="A135" s="22">
        <v>7420</v>
      </c>
      <c r="B135" s="23" t="s">
        <v>120</v>
      </c>
      <c r="C135" s="37">
        <f t="shared" si="12"/>
        <v>-72302</v>
      </c>
      <c r="D135" s="37">
        <f t="shared" si="13"/>
        <v>-50622</v>
      </c>
      <c r="E135" s="37">
        <f t="shared" si="14"/>
        <v>-11160</v>
      </c>
      <c r="F135" s="37">
        <f t="shared" si="15"/>
        <v>10121</v>
      </c>
      <c r="G135" s="37">
        <f t="shared" si="16"/>
        <v>1842</v>
      </c>
      <c r="I135" s="41"/>
      <c r="K135" s="40">
        <f>ROUND(VLOOKUP($A135,'Contribution Allocation_Report'!$A$9:$D$314,4,FALSE)*$K$321,0)</f>
        <v>-115192</v>
      </c>
      <c r="L135" s="40">
        <f>ROUND(VLOOKUP($A135,'Contribution Allocation_Report'!$A$9:$D$314,4,FALSE)*$L$321,0)</f>
        <v>-77663</v>
      </c>
      <c r="M135" s="40">
        <f>ROUND(VLOOKUP($A135,'Contribution Allocation_Report'!$A$9:$D$314,4,FALSE)*$M$321,0)</f>
        <v>-24910</v>
      </c>
      <c r="N135" s="40">
        <f>ROUND(VLOOKUP($A135,'Contribution Allocation_Report'!$A$9:$D$314,4,FALSE)*$N$321,0)</f>
        <v>1025</v>
      </c>
      <c r="O135" s="40">
        <f>ROUND(VLOOKUP($A135,'Contribution Allocation_Report'!$A$9:$D$314,4,FALSE)*$O$321,0)</f>
        <v>-2768</v>
      </c>
      <c r="Q135" s="40">
        <f>+VLOOKUP(A135,'Change in Proportion Layers'!$AK$8:$AP$318,2,FALSE)+K135</f>
        <v>-72302</v>
      </c>
      <c r="R135" s="40">
        <f>+VLOOKUP(A135,'Change in Proportion Layers'!$AK$8:$AP$318,3,FALSE)+L135</f>
        <v>-50622</v>
      </c>
      <c r="S135" s="40">
        <f>+VLOOKUP(A135,'Change in Proportion Layers'!$AK$8:$AP$318,4,FALSE)+M135</f>
        <v>-11160</v>
      </c>
      <c r="T135" s="40">
        <f>+VLOOKUP(A135,'Change in Proportion Layers'!$AK$8:$AP$318,5,FALSE)+N135</f>
        <v>10121</v>
      </c>
      <c r="U135" s="40">
        <f>+VLOOKUP(A135,'Change in Proportion Layers'!$AK$8:$AP$318,6,FALSE)+O135+1</f>
        <v>1842</v>
      </c>
      <c r="W135" s="40">
        <f>('OPEB Amounts_Report'!G135-'OPEB Amounts_Report'!M135)</f>
        <v>-122121</v>
      </c>
      <c r="X135" s="109">
        <f t="shared" si="11"/>
        <v>0</v>
      </c>
    </row>
    <row r="136" spans="1:24">
      <c r="A136" s="24">
        <v>6018</v>
      </c>
      <c r="B136" s="3" t="s">
        <v>121</v>
      </c>
      <c r="C136" s="38">
        <f t="shared" si="12"/>
        <v>-218011</v>
      </c>
      <c r="D136" s="38">
        <f t="shared" si="13"/>
        <v>-99870</v>
      </c>
      <c r="E136" s="38">
        <f t="shared" si="14"/>
        <v>93082</v>
      </c>
      <c r="F136" s="38">
        <f t="shared" si="15"/>
        <v>112736</v>
      </c>
      <c r="G136" s="38">
        <f t="shared" si="16"/>
        <v>48803</v>
      </c>
      <c r="I136" s="41"/>
      <c r="K136" s="40">
        <f>ROUND(VLOOKUP($A136,'Contribution Allocation_Report'!$A$9:$D$314,4,FALSE)*$K$321,0)</f>
        <v>-439928</v>
      </c>
      <c r="L136" s="40">
        <f>ROUND(VLOOKUP($A136,'Contribution Allocation_Report'!$A$9:$D$314,4,FALSE)*$L$321,0)</f>
        <v>-296602</v>
      </c>
      <c r="M136" s="40">
        <f>ROUND(VLOOKUP($A136,'Contribution Allocation_Report'!$A$9:$D$314,4,FALSE)*$M$321,0)</f>
        <v>-95135</v>
      </c>
      <c r="N136" s="40">
        <f>ROUND(VLOOKUP($A136,'Contribution Allocation_Report'!$A$9:$D$314,4,FALSE)*$N$321,0)</f>
        <v>3916</v>
      </c>
      <c r="O136" s="40">
        <f>ROUND(VLOOKUP($A136,'Contribution Allocation_Report'!$A$9:$D$314,4,FALSE)*$O$321,0)</f>
        <v>-10570</v>
      </c>
      <c r="Q136" s="40">
        <f>+VLOOKUP(A136,'Change in Proportion Layers'!$AK$8:$AP$318,2,FALSE)+K136</f>
        <v>-218011</v>
      </c>
      <c r="R136" s="40">
        <f>+VLOOKUP(A136,'Change in Proportion Layers'!$AK$8:$AP$318,3,FALSE)+L136</f>
        <v>-99870</v>
      </c>
      <c r="S136" s="40">
        <f>+VLOOKUP(A136,'Change in Proportion Layers'!$AK$8:$AP$318,4,FALSE)+M136</f>
        <v>93082</v>
      </c>
      <c r="T136" s="40">
        <f>+VLOOKUP(A136,'Change in Proportion Layers'!$AK$8:$AP$318,5,FALSE)+N136</f>
        <v>112736</v>
      </c>
      <c r="U136" s="40">
        <f>+VLOOKUP(A136,'Change in Proportion Layers'!$AK$8:$AP$318,6,FALSE)+O136</f>
        <v>48803</v>
      </c>
      <c r="W136" s="40">
        <f>('OPEB Amounts_Report'!G136-'OPEB Amounts_Report'!M136)</f>
        <v>-63260</v>
      </c>
      <c r="X136" s="109">
        <f t="shared" si="11"/>
        <v>0</v>
      </c>
    </row>
    <row r="137" spans="1:24">
      <c r="A137" s="22">
        <v>3321</v>
      </c>
      <c r="B137" s="23" t="s">
        <v>122</v>
      </c>
      <c r="C137" s="37">
        <f t="shared" si="12"/>
        <v>-109597</v>
      </c>
      <c r="D137" s="37">
        <f t="shared" si="13"/>
        <v>-91041</v>
      </c>
      <c r="E137" s="37">
        <f t="shared" si="14"/>
        <v>-82938</v>
      </c>
      <c r="F137" s="37">
        <f t="shared" si="15"/>
        <v>-43905</v>
      </c>
      <c r="G137" s="37">
        <f t="shared" si="16"/>
        <v>-11239</v>
      </c>
      <c r="I137" s="41"/>
      <c r="K137" s="40">
        <f>ROUND(VLOOKUP($A137,'Contribution Allocation_Report'!$A$9:$D$314,4,FALSE)*$K$321,0)</f>
        <v>-101523</v>
      </c>
      <c r="L137" s="40">
        <f>ROUND(VLOOKUP($A137,'Contribution Allocation_Report'!$A$9:$D$314,4,FALSE)*$L$321,0)</f>
        <v>-68447</v>
      </c>
      <c r="M137" s="40">
        <f>ROUND(VLOOKUP($A137,'Contribution Allocation_Report'!$A$9:$D$314,4,FALSE)*$M$321,0)</f>
        <v>-21954</v>
      </c>
      <c r="N137" s="40">
        <f>ROUND(VLOOKUP($A137,'Contribution Allocation_Report'!$A$9:$D$314,4,FALSE)*$N$321,0)</f>
        <v>904</v>
      </c>
      <c r="O137" s="40">
        <f>ROUND(VLOOKUP($A137,'Contribution Allocation_Report'!$A$9:$D$314,4,FALSE)*$O$321,0)</f>
        <v>-2439</v>
      </c>
      <c r="Q137" s="40">
        <f>+VLOOKUP(A137,'Change in Proportion Layers'!$AK$8:$AP$318,2,FALSE)+K137</f>
        <v>-109597</v>
      </c>
      <c r="R137" s="40">
        <f>+VLOOKUP(A137,'Change in Proportion Layers'!$AK$8:$AP$318,3,FALSE)+L137</f>
        <v>-91041</v>
      </c>
      <c r="S137" s="40">
        <f>+VLOOKUP(A137,'Change in Proportion Layers'!$AK$8:$AP$318,4,FALSE)+M137</f>
        <v>-82938</v>
      </c>
      <c r="T137" s="40">
        <f>+VLOOKUP(A137,'Change in Proportion Layers'!$AK$8:$AP$318,5,FALSE)+N137</f>
        <v>-43905</v>
      </c>
      <c r="U137" s="40">
        <f>+VLOOKUP(A137,'Change in Proportion Layers'!$AK$8:$AP$318,6,FALSE)+O137+1</f>
        <v>-11239</v>
      </c>
      <c r="W137" s="40">
        <f>('OPEB Amounts_Report'!G137-'OPEB Amounts_Report'!M137)</f>
        <v>-338720</v>
      </c>
      <c r="X137" s="109">
        <f t="shared" si="11"/>
        <v>0</v>
      </c>
    </row>
    <row r="138" spans="1:24">
      <c r="A138" s="24">
        <v>29122</v>
      </c>
      <c r="B138" s="3" t="s">
        <v>123</v>
      </c>
      <c r="C138" s="38">
        <f t="shared" si="12"/>
        <v>-204084</v>
      </c>
      <c r="D138" s="38">
        <f t="shared" si="13"/>
        <v>-100419</v>
      </c>
      <c r="E138" s="38">
        <f t="shared" si="14"/>
        <v>-17739</v>
      </c>
      <c r="F138" s="38">
        <f t="shared" si="15"/>
        <v>-21921</v>
      </c>
      <c r="G138" s="38">
        <f t="shared" si="16"/>
        <v>26085</v>
      </c>
      <c r="I138" s="41"/>
      <c r="K138" s="40">
        <f>ROUND(VLOOKUP($A138,'Contribution Allocation_Report'!$A$9:$D$314,4,FALSE)*$K$321,0)</f>
        <v>-177790</v>
      </c>
      <c r="L138" s="40">
        <f>ROUND(VLOOKUP($A138,'Contribution Allocation_Report'!$A$9:$D$314,4,FALSE)*$L$321,0)</f>
        <v>-119867</v>
      </c>
      <c r="M138" s="40">
        <f>ROUND(VLOOKUP($A138,'Contribution Allocation_Report'!$A$9:$D$314,4,FALSE)*$M$321,0)</f>
        <v>-38447</v>
      </c>
      <c r="N138" s="40">
        <f>ROUND(VLOOKUP($A138,'Contribution Allocation_Report'!$A$9:$D$314,4,FALSE)*$N$321,0)</f>
        <v>1583</v>
      </c>
      <c r="O138" s="40">
        <f>ROUND(VLOOKUP($A138,'Contribution Allocation_Report'!$A$9:$D$314,4,FALSE)*$O$321,0)</f>
        <v>-4272</v>
      </c>
      <c r="Q138" s="40">
        <f>+VLOOKUP(A138,'Change in Proportion Layers'!$AK$8:$AP$318,2,FALSE)+K138</f>
        <v>-204084</v>
      </c>
      <c r="R138" s="40">
        <f>+VLOOKUP(A138,'Change in Proportion Layers'!$AK$8:$AP$318,3,FALSE)+L138</f>
        <v>-100419</v>
      </c>
      <c r="S138" s="40">
        <f>+VLOOKUP(A138,'Change in Proportion Layers'!$AK$8:$AP$318,4,FALSE)+M138</f>
        <v>-17739</v>
      </c>
      <c r="T138" s="40">
        <f>+VLOOKUP(A138,'Change in Proportion Layers'!$AK$8:$AP$318,5,FALSE)+N138</f>
        <v>-21921</v>
      </c>
      <c r="U138" s="40">
        <f>+VLOOKUP(A138,'Change in Proportion Layers'!$AK$8:$AP$318,6,FALSE)+O138+1</f>
        <v>26085</v>
      </c>
      <c r="W138" s="40">
        <f>('OPEB Amounts_Report'!G138-'OPEB Amounts_Report'!M138)</f>
        <v>-318078</v>
      </c>
      <c r="X138" s="109">
        <f t="shared" si="11"/>
        <v>0</v>
      </c>
    </row>
    <row r="139" spans="1:24">
      <c r="A139" s="22">
        <v>29088</v>
      </c>
      <c r="B139" s="23" t="s">
        <v>124</v>
      </c>
      <c r="C139" s="37">
        <f t="shared" si="12"/>
        <v>-214006</v>
      </c>
      <c r="D139" s="37">
        <f t="shared" si="13"/>
        <v>-138365</v>
      </c>
      <c r="E139" s="37">
        <f t="shared" si="14"/>
        <v>-42714</v>
      </c>
      <c r="F139" s="37">
        <f t="shared" si="15"/>
        <v>-12136</v>
      </c>
      <c r="G139" s="37">
        <f t="shared" si="16"/>
        <v>7484</v>
      </c>
      <c r="I139" s="41"/>
      <c r="K139" s="40">
        <f>ROUND(VLOOKUP($A139,'Contribution Allocation_Report'!$A$9:$D$314,4,FALSE)*$K$321,0)</f>
        <v>-229564</v>
      </c>
      <c r="L139" s="40">
        <f>ROUND(VLOOKUP($A139,'Contribution Allocation_Report'!$A$9:$D$314,4,FALSE)*$L$321,0)</f>
        <v>-154773</v>
      </c>
      <c r="M139" s="40">
        <f>ROUND(VLOOKUP($A139,'Contribution Allocation_Report'!$A$9:$D$314,4,FALSE)*$M$321,0)</f>
        <v>-49644</v>
      </c>
      <c r="N139" s="40">
        <f>ROUND(VLOOKUP($A139,'Contribution Allocation_Report'!$A$9:$D$314,4,FALSE)*$N$321,0)</f>
        <v>2044</v>
      </c>
      <c r="O139" s="40">
        <f>ROUND(VLOOKUP($A139,'Contribution Allocation_Report'!$A$9:$D$314,4,FALSE)*$O$321,0)</f>
        <v>-5516</v>
      </c>
      <c r="Q139" s="40">
        <f>+VLOOKUP(A139,'Change in Proportion Layers'!$AK$8:$AP$318,2,FALSE)+K139</f>
        <v>-214006</v>
      </c>
      <c r="R139" s="40">
        <f>+VLOOKUP(A139,'Change in Proportion Layers'!$AK$8:$AP$318,3,FALSE)+L139</f>
        <v>-138365</v>
      </c>
      <c r="S139" s="40">
        <f>+VLOOKUP(A139,'Change in Proportion Layers'!$AK$8:$AP$318,4,FALSE)+M139</f>
        <v>-42714</v>
      </c>
      <c r="T139" s="40">
        <f>+VLOOKUP(A139,'Change in Proportion Layers'!$AK$8:$AP$318,5,FALSE)+N139</f>
        <v>-12136</v>
      </c>
      <c r="U139" s="40">
        <f>+VLOOKUP(A139,'Change in Proportion Layers'!$AK$8:$AP$318,6,FALSE)+O139</f>
        <v>7484</v>
      </c>
      <c r="W139" s="40">
        <f>('OPEB Amounts_Report'!G139-'OPEB Amounts_Report'!M139)</f>
        <v>-399737</v>
      </c>
      <c r="X139" s="109">
        <f t="shared" si="11"/>
        <v>0</v>
      </c>
    </row>
    <row r="140" spans="1:24">
      <c r="A140" s="24">
        <v>7337</v>
      </c>
      <c r="B140" s="3" t="s">
        <v>125</v>
      </c>
      <c r="C140" s="38">
        <f t="shared" si="12"/>
        <v>-75426</v>
      </c>
      <c r="D140" s="38">
        <f t="shared" si="13"/>
        <v>-42581</v>
      </c>
      <c r="E140" s="38">
        <f t="shared" si="14"/>
        <v>-29688</v>
      </c>
      <c r="F140" s="38">
        <f t="shared" si="15"/>
        <v>-25567</v>
      </c>
      <c r="G140" s="38">
        <f t="shared" si="16"/>
        <v>2319</v>
      </c>
      <c r="I140" s="41"/>
      <c r="K140" s="40">
        <f>ROUND(VLOOKUP($A140,'Contribution Allocation_Report'!$A$9:$D$314,4,FALSE)*$K$321,0)</f>
        <v>-46499</v>
      </c>
      <c r="L140" s="40">
        <f>ROUND(VLOOKUP($A140,'Contribution Allocation_Report'!$A$9:$D$314,4,FALSE)*$L$321,0)</f>
        <v>-31350</v>
      </c>
      <c r="M140" s="40">
        <f>ROUND(VLOOKUP($A140,'Contribution Allocation_Report'!$A$9:$D$314,4,FALSE)*$M$321,0)</f>
        <v>-10055</v>
      </c>
      <c r="N140" s="40">
        <f>ROUND(VLOOKUP($A140,'Contribution Allocation_Report'!$A$9:$D$314,4,FALSE)*$N$321,0)</f>
        <v>414</v>
      </c>
      <c r="O140" s="40">
        <f>ROUND(VLOOKUP($A140,'Contribution Allocation_Report'!$A$9:$D$314,4,FALSE)*$O$321,0)</f>
        <v>-1117</v>
      </c>
      <c r="Q140" s="40">
        <f>+VLOOKUP(A140,'Change in Proportion Layers'!$AK$8:$AP$318,2,FALSE)+K140</f>
        <v>-75426</v>
      </c>
      <c r="R140" s="40">
        <f>+VLOOKUP(A140,'Change in Proportion Layers'!$AK$8:$AP$318,3,FALSE)+L140</f>
        <v>-42581</v>
      </c>
      <c r="S140" s="40">
        <f>+VLOOKUP(A140,'Change in Proportion Layers'!$AK$8:$AP$318,4,FALSE)+M140</f>
        <v>-29688</v>
      </c>
      <c r="T140" s="40">
        <f>+VLOOKUP(A140,'Change in Proportion Layers'!$AK$8:$AP$318,5,FALSE)+N140</f>
        <v>-25567</v>
      </c>
      <c r="U140" s="40">
        <f>+VLOOKUP(A140,'Change in Proportion Layers'!$AK$8:$AP$318,6,FALSE)+O140</f>
        <v>2319</v>
      </c>
      <c r="W140" s="40">
        <f>('OPEB Amounts_Report'!G140-'OPEB Amounts_Report'!M140)</f>
        <v>-170943</v>
      </c>
      <c r="X140" s="109">
        <f t="shared" si="11"/>
        <v>0</v>
      </c>
    </row>
    <row r="141" spans="1:24">
      <c r="A141" s="22">
        <v>2329</v>
      </c>
      <c r="B141" s="23" t="s">
        <v>126</v>
      </c>
      <c r="C141" s="37">
        <f t="shared" si="12"/>
        <v>-186962</v>
      </c>
      <c r="D141" s="37">
        <f t="shared" si="13"/>
        <v>-161849</v>
      </c>
      <c r="E141" s="37">
        <f t="shared" si="14"/>
        <v>-117208</v>
      </c>
      <c r="F141" s="37">
        <f t="shared" si="15"/>
        <v>-45150</v>
      </c>
      <c r="G141" s="37">
        <f t="shared" si="16"/>
        <v>-26386</v>
      </c>
      <c r="I141" s="41"/>
      <c r="K141" s="40">
        <f>ROUND(VLOOKUP($A141,'Contribution Allocation_Report'!$A$9:$D$314,4,FALSE)*$K$321,0)</f>
        <v>-119444</v>
      </c>
      <c r="L141" s="40">
        <f>ROUND(VLOOKUP($A141,'Contribution Allocation_Report'!$A$9:$D$314,4,FALSE)*$L$321,0)</f>
        <v>-80530</v>
      </c>
      <c r="M141" s="40">
        <f>ROUND(VLOOKUP($A141,'Contribution Allocation_Report'!$A$9:$D$314,4,FALSE)*$M$321,0)</f>
        <v>-25830</v>
      </c>
      <c r="N141" s="40">
        <f>ROUND(VLOOKUP($A141,'Contribution Allocation_Report'!$A$9:$D$314,4,FALSE)*$N$321,0)</f>
        <v>1063</v>
      </c>
      <c r="O141" s="40">
        <f>ROUND(VLOOKUP($A141,'Contribution Allocation_Report'!$A$9:$D$314,4,FALSE)*$O$321,0)</f>
        <v>-2870</v>
      </c>
      <c r="Q141" s="40">
        <f>+VLOOKUP(A141,'Change in Proportion Layers'!$AK$8:$AP$318,2,FALSE)+K141</f>
        <v>-186962</v>
      </c>
      <c r="R141" s="40">
        <f>+VLOOKUP(A141,'Change in Proportion Layers'!$AK$8:$AP$318,3,FALSE)+L141</f>
        <v>-161849</v>
      </c>
      <c r="S141" s="40">
        <f>+VLOOKUP(A141,'Change in Proportion Layers'!$AK$8:$AP$318,4,FALSE)+M141</f>
        <v>-117208</v>
      </c>
      <c r="T141" s="40">
        <f>+VLOOKUP(A141,'Change in Proportion Layers'!$AK$8:$AP$318,5,FALSE)+N141</f>
        <v>-45150</v>
      </c>
      <c r="U141" s="40">
        <f>+VLOOKUP(A141,'Change in Proportion Layers'!$AK$8:$AP$318,6,FALSE)+O141+2</f>
        <v>-26386</v>
      </c>
      <c r="W141" s="40">
        <f>('OPEB Amounts_Report'!G141-'OPEB Amounts_Report'!M141)</f>
        <v>-537555</v>
      </c>
      <c r="X141" s="109">
        <f t="shared" ref="X141:X196" si="29">SUM(Q141:U141)-W141</f>
        <v>0</v>
      </c>
    </row>
    <row r="142" spans="1:24">
      <c r="A142" s="24">
        <v>4010</v>
      </c>
      <c r="B142" s="3" t="s">
        <v>129</v>
      </c>
      <c r="C142" s="38">
        <f t="shared" ref="C142:C205" si="30">+Q142</f>
        <v>-85257</v>
      </c>
      <c r="D142" s="38">
        <f t="shared" ref="D142:D205" si="31">+R142</f>
        <v>-53577</v>
      </c>
      <c r="E142" s="38">
        <f t="shared" ref="E142:E205" si="32">+S142</f>
        <v>-16372</v>
      </c>
      <c r="F142" s="38">
        <f t="shared" ref="F142:F205" si="33">+T142</f>
        <v>7655</v>
      </c>
      <c r="G142" s="38">
        <f t="shared" ref="G142:G205" si="34">+U142</f>
        <v>-4224</v>
      </c>
      <c r="I142" s="41"/>
      <c r="K142" s="40">
        <f>ROUND(VLOOKUP($A142,'Contribution Allocation_Report'!$A$9:$D$314,4,FALSE)*$K$321,0)</f>
        <v>-119318</v>
      </c>
      <c r="L142" s="40">
        <f>ROUND(VLOOKUP($A142,'Contribution Allocation_Report'!$A$9:$D$314,4,FALSE)*$L$321,0)</f>
        <v>-80445</v>
      </c>
      <c r="M142" s="40">
        <f>ROUND(VLOOKUP($A142,'Contribution Allocation_Report'!$A$9:$D$314,4,FALSE)*$M$321,0)</f>
        <v>-25803</v>
      </c>
      <c r="N142" s="40">
        <f>ROUND(VLOOKUP($A142,'Contribution Allocation_Report'!$A$9:$D$314,4,FALSE)*$N$321,0)</f>
        <v>1062</v>
      </c>
      <c r="O142" s="40">
        <f>ROUND(VLOOKUP($A142,'Contribution Allocation_Report'!$A$9:$D$314,4,FALSE)*$O$321,0)</f>
        <v>-2867</v>
      </c>
      <c r="Q142" s="40">
        <f>+VLOOKUP(A142,'Change in Proportion Layers'!$AK$8:$AP$318,2,FALSE)+K142</f>
        <v>-85257</v>
      </c>
      <c r="R142" s="40">
        <f>+VLOOKUP(A142,'Change in Proportion Layers'!$AK$8:$AP$318,3,FALSE)+L142</f>
        <v>-53577</v>
      </c>
      <c r="S142" s="40">
        <f>+VLOOKUP(A142,'Change in Proportion Layers'!$AK$8:$AP$318,4,FALSE)+M142</f>
        <v>-16372</v>
      </c>
      <c r="T142" s="40">
        <f>+VLOOKUP(A142,'Change in Proportion Layers'!$AK$8:$AP$318,5,FALSE)+N142</f>
        <v>7655</v>
      </c>
      <c r="U142" s="40">
        <f>+VLOOKUP(A142,'Change in Proportion Layers'!$AK$8:$AP$318,6,FALSE)+O142+2</f>
        <v>-4224</v>
      </c>
      <c r="W142" s="40">
        <f>('OPEB Amounts_Report'!G142-'OPEB Amounts_Report'!M142)</f>
        <v>-151775</v>
      </c>
      <c r="X142" s="109">
        <f t="shared" si="29"/>
        <v>0</v>
      </c>
    </row>
    <row r="143" spans="1:24">
      <c r="A143" s="22">
        <v>7023</v>
      </c>
      <c r="B143" s="23" t="s">
        <v>130</v>
      </c>
      <c r="C143" s="37">
        <f t="shared" si="30"/>
        <v>-11983690</v>
      </c>
      <c r="D143" s="37">
        <f t="shared" si="31"/>
        <v>-8168636</v>
      </c>
      <c r="E143" s="37">
        <f t="shared" si="32"/>
        <v>-2836891</v>
      </c>
      <c r="F143" s="37">
        <f t="shared" si="33"/>
        <v>-719172</v>
      </c>
      <c r="G143" s="37">
        <f t="shared" si="34"/>
        <v>-539204</v>
      </c>
      <c r="I143" s="41"/>
      <c r="K143" s="40">
        <f>ROUND(VLOOKUP($A143,'Contribution Allocation_Report'!$A$9:$D$314,4,FALSE)*$K$321,0)</f>
        <v>-13192472</v>
      </c>
      <c r="L143" s="40">
        <f>ROUND(VLOOKUP($A143,'Contribution Allocation_Report'!$A$9:$D$314,4,FALSE)*$L$321,0)</f>
        <v>-8894430</v>
      </c>
      <c r="M143" s="40">
        <f>ROUND(VLOOKUP($A143,'Contribution Allocation_Report'!$A$9:$D$314,4,FALSE)*$M$321,0)</f>
        <v>-2852891</v>
      </c>
      <c r="N143" s="40">
        <f>ROUND(VLOOKUP($A143,'Contribution Allocation_Report'!$A$9:$D$314,4,FALSE)*$N$321,0)</f>
        <v>117441</v>
      </c>
      <c r="O143" s="40">
        <f>ROUND(VLOOKUP($A143,'Contribution Allocation_Report'!$A$9:$D$314,4,FALSE)*$O$321,0)</f>
        <v>-316969</v>
      </c>
      <c r="Q143" s="40">
        <f>+VLOOKUP(A143,'Change in Proportion Layers'!$AK$8:$AP$318,2,FALSE)+K143</f>
        <v>-11983690</v>
      </c>
      <c r="R143" s="40">
        <f>+VLOOKUP(A143,'Change in Proportion Layers'!$AK$8:$AP$318,3,FALSE)+L143</f>
        <v>-8168636</v>
      </c>
      <c r="S143" s="40">
        <f>+VLOOKUP(A143,'Change in Proportion Layers'!$AK$8:$AP$318,4,FALSE)+M143</f>
        <v>-2836891</v>
      </c>
      <c r="T143" s="40">
        <f>+VLOOKUP(A143,'Change in Proportion Layers'!$AK$8:$AP$318,5,FALSE)+N143</f>
        <v>-719172</v>
      </c>
      <c r="U143" s="40">
        <f>+VLOOKUP(A143,'Change in Proportion Layers'!$AK$8:$AP$318,6,FALSE)+O143-1</f>
        <v>-539204</v>
      </c>
      <c r="W143" s="40">
        <f>('OPEB Amounts_Report'!G143-'OPEB Amounts_Report'!M143)</f>
        <v>-24247593</v>
      </c>
      <c r="X143" s="109">
        <f t="shared" si="29"/>
        <v>0</v>
      </c>
    </row>
    <row r="144" spans="1:24">
      <c r="A144" s="24">
        <v>7338</v>
      </c>
      <c r="B144" s="3" t="s">
        <v>131</v>
      </c>
      <c r="C144" s="38">
        <f t="shared" si="30"/>
        <v>-121271</v>
      </c>
      <c r="D144" s="38">
        <f t="shared" si="31"/>
        <v>-97640</v>
      </c>
      <c r="E144" s="38">
        <f t="shared" si="32"/>
        <v>-45372</v>
      </c>
      <c r="F144" s="38">
        <f t="shared" si="33"/>
        <v>5343</v>
      </c>
      <c r="G144" s="38">
        <f t="shared" si="34"/>
        <v>-1367</v>
      </c>
      <c r="I144" s="41"/>
      <c r="K144" s="40">
        <f>ROUND(VLOOKUP($A144,'Contribution Allocation_Report'!$A$9:$D$314,4,FALSE)*$K$321,0)</f>
        <v>-99632</v>
      </c>
      <c r="L144" s="40">
        <f>ROUND(VLOOKUP($A144,'Contribution Allocation_Report'!$A$9:$D$314,4,FALSE)*$L$321,0)</f>
        <v>-67172</v>
      </c>
      <c r="M144" s="40">
        <f>ROUND(VLOOKUP($A144,'Contribution Allocation_Report'!$A$9:$D$314,4,FALSE)*$M$321,0)</f>
        <v>-21546</v>
      </c>
      <c r="N144" s="40">
        <f>ROUND(VLOOKUP($A144,'Contribution Allocation_Report'!$A$9:$D$314,4,FALSE)*$N$321,0)</f>
        <v>887</v>
      </c>
      <c r="O144" s="40">
        <f>ROUND(VLOOKUP($A144,'Contribution Allocation_Report'!$A$9:$D$314,4,FALSE)*$O$321,0)</f>
        <v>-2394</v>
      </c>
      <c r="Q144" s="40">
        <f>+VLOOKUP(A144,'Change in Proportion Layers'!$AK$8:$AP$318,2,FALSE)+K144</f>
        <v>-121271</v>
      </c>
      <c r="R144" s="40">
        <f>+VLOOKUP(A144,'Change in Proportion Layers'!$AK$8:$AP$318,3,FALSE)+L144</f>
        <v>-97640</v>
      </c>
      <c r="S144" s="40">
        <f>+VLOOKUP(A144,'Change in Proportion Layers'!$AK$8:$AP$318,4,FALSE)+M144</f>
        <v>-45372</v>
      </c>
      <c r="T144" s="40">
        <f>+VLOOKUP(A144,'Change in Proportion Layers'!$AK$8:$AP$318,5,FALSE)+N144</f>
        <v>5343</v>
      </c>
      <c r="U144" s="40">
        <f>+VLOOKUP(A144,'Change in Proportion Layers'!$AK$8:$AP$318,6,FALSE)+O144</f>
        <v>-1367</v>
      </c>
      <c r="W144" s="40">
        <f>('OPEB Amounts_Report'!G144-'OPEB Amounts_Report'!M144)</f>
        <v>-260307</v>
      </c>
      <c r="X144" s="109">
        <f t="shared" si="29"/>
        <v>0</v>
      </c>
    </row>
    <row r="145" spans="1:24">
      <c r="A145" s="22">
        <v>12037</v>
      </c>
      <c r="B145" s="23" t="s">
        <v>132</v>
      </c>
      <c r="C145" s="37">
        <f t="shared" si="30"/>
        <v>-874583</v>
      </c>
      <c r="D145" s="37">
        <f t="shared" si="31"/>
        <v>-625477</v>
      </c>
      <c r="E145" s="37">
        <f t="shared" si="32"/>
        <v>-263016</v>
      </c>
      <c r="F145" s="37">
        <f t="shared" si="33"/>
        <v>-87362</v>
      </c>
      <c r="G145" s="37">
        <f t="shared" si="34"/>
        <v>-84479</v>
      </c>
      <c r="I145" s="41"/>
      <c r="K145" s="40">
        <f>ROUND(VLOOKUP($A145,'Contribution Allocation_Report'!$A$9:$D$314,4,FALSE)*$K$321,0)</f>
        <v>-708729</v>
      </c>
      <c r="L145" s="40">
        <f>ROUND(VLOOKUP($A145,'Contribution Allocation_Report'!$A$9:$D$314,4,FALSE)*$L$321,0)</f>
        <v>-477828</v>
      </c>
      <c r="M145" s="40">
        <f>ROUND(VLOOKUP($A145,'Contribution Allocation_Report'!$A$9:$D$314,4,FALSE)*$M$321,0)</f>
        <v>-153264</v>
      </c>
      <c r="N145" s="40">
        <f>ROUND(VLOOKUP($A145,'Contribution Allocation_Report'!$A$9:$D$314,4,FALSE)*$N$321,0)</f>
        <v>6309</v>
      </c>
      <c r="O145" s="40">
        <f>ROUND(VLOOKUP($A145,'Contribution Allocation_Report'!$A$9:$D$314,4,FALSE)*$O$321,0)</f>
        <v>-17028</v>
      </c>
      <c r="Q145" s="40">
        <f>+VLOOKUP(A145,'Change in Proportion Layers'!$AK$8:$AP$318,2,FALSE)+K145</f>
        <v>-874583</v>
      </c>
      <c r="R145" s="40">
        <f>+VLOOKUP(A145,'Change in Proportion Layers'!$AK$8:$AP$318,3,FALSE)+L145</f>
        <v>-625477</v>
      </c>
      <c r="S145" s="40">
        <f>+VLOOKUP(A145,'Change in Proportion Layers'!$AK$8:$AP$318,4,FALSE)+M145</f>
        <v>-263016</v>
      </c>
      <c r="T145" s="40">
        <f>+VLOOKUP(A145,'Change in Proportion Layers'!$AK$8:$AP$318,5,FALSE)+N145</f>
        <v>-87362</v>
      </c>
      <c r="U145" s="40">
        <f>+VLOOKUP(A145,'Change in Proportion Layers'!$AK$8:$AP$318,6,FALSE)+O145</f>
        <v>-84479</v>
      </c>
      <c r="W145" s="40">
        <f>('OPEB Amounts_Report'!G145-'OPEB Amounts_Report'!M145)</f>
        <v>-1934917</v>
      </c>
      <c r="X145" s="109">
        <f t="shared" si="29"/>
        <v>0</v>
      </c>
    </row>
    <row r="146" spans="1:24">
      <c r="A146" s="24">
        <v>3150</v>
      </c>
      <c r="B146" s="3" t="s">
        <v>133</v>
      </c>
      <c r="C146" s="38">
        <f t="shared" si="30"/>
        <v>-1431985</v>
      </c>
      <c r="D146" s="38">
        <f t="shared" si="31"/>
        <v>-830553</v>
      </c>
      <c r="E146" s="38">
        <f t="shared" si="32"/>
        <v>-314647</v>
      </c>
      <c r="F146" s="38">
        <f t="shared" si="33"/>
        <v>230499</v>
      </c>
      <c r="G146" s="38">
        <f t="shared" si="34"/>
        <v>-34154</v>
      </c>
      <c r="I146" s="41"/>
      <c r="K146" s="40">
        <f>ROUND(VLOOKUP($A146,'Contribution Allocation_Report'!$A$9:$D$314,4,FALSE)*$K$321,0)</f>
        <v>-1771354</v>
      </c>
      <c r="L146" s="40">
        <f>ROUND(VLOOKUP($A146,'Contribution Allocation_Report'!$A$9:$D$314,4,FALSE)*$L$321,0)</f>
        <v>-1194255</v>
      </c>
      <c r="M146" s="40">
        <f>ROUND(VLOOKUP($A146,'Contribution Allocation_Report'!$A$9:$D$314,4,FALSE)*$M$321,0)</f>
        <v>-383058</v>
      </c>
      <c r="N146" s="40">
        <f>ROUND(VLOOKUP($A146,'Contribution Allocation_Report'!$A$9:$D$314,4,FALSE)*$N$321,0)</f>
        <v>15769</v>
      </c>
      <c r="O146" s="40">
        <f>ROUND(VLOOKUP($A146,'Contribution Allocation_Report'!$A$9:$D$314,4,FALSE)*$O$321,0)</f>
        <v>-42559</v>
      </c>
      <c r="Q146" s="40">
        <f>+VLOOKUP(A146,'Change in Proportion Layers'!$AK$8:$AP$318,2,FALSE)+K146</f>
        <v>-1431985</v>
      </c>
      <c r="R146" s="40">
        <f>+VLOOKUP(A146,'Change in Proportion Layers'!$AK$8:$AP$318,3,FALSE)+L146</f>
        <v>-830553</v>
      </c>
      <c r="S146" s="40">
        <f>+VLOOKUP(A146,'Change in Proportion Layers'!$AK$8:$AP$318,4,FALSE)+M146</f>
        <v>-314647</v>
      </c>
      <c r="T146" s="40">
        <f>+VLOOKUP(A146,'Change in Proportion Layers'!$AK$8:$AP$318,5,FALSE)+N146</f>
        <v>230499</v>
      </c>
      <c r="U146" s="40">
        <f>+VLOOKUP(A146,'Change in Proportion Layers'!$AK$8:$AP$318,6,FALSE)+O146-1</f>
        <v>-34154</v>
      </c>
      <c r="W146" s="40">
        <f>('OPEB Amounts_Report'!G146-'OPEB Amounts_Report'!M146)</f>
        <v>-2380840</v>
      </c>
      <c r="X146" s="109">
        <f t="shared" si="29"/>
        <v>0</v>
      </c>
    </row>
    <row r="147" spans="1:24">
      <c r="A147" s="22">
        <v>3160</v>
      </c>
      <c r="B147" s="23" t="s">
        <v>134</v>
      </c>
      <c r="C147" s="37">
        <f t="shared" si="30"/>
        <v>-397531</v>
      </c>
      <c r="D147" s="37">
        <f t="shared" si="31"/>
        <v>-279093</v>
      </c>
      <c r="E147" s="37">
        <f t="shared" si="32"/>
        <v>-136318</v>
      </c>
      <c r="F147" s="37">
        <f t="shared" si="33"/>
        <v>-13928</v>
      </c>
      <c r="G147" s="37">
        <f t="shared" si="34"/>
        <v>-28316</v>
      </c>
      <c r="I147" s="41"/>
      <c r="K147" s="40">
        <f>ROUND(VLOOKUP($A147,'Contribution Allocation_Report'!$A$9:$D$314,4,FALSE)*$K$321,0)</f>
        <v>-354962</v>
      </c>
      <c r="L147" s="40">
        <f>ROUND(VLOOKUP($A147,'Contribution Allocation_Report'!$A$9:$D$314,4,FALSE)*$L$321,0)</f>
        <v>-239317</v>
      </c>
      <c r="M147" s="40">
        <f>ROUND(VLOOKUP($A147,'Contribution Allocation_Report'!$A$9:$D$314,4,FALSE)*$M$321,0)</f>
        <v>-76761</v>
      </c>
      <c r="N147" s="40">
        <f>ROUND(VLOOKUP($A147,'Contribution Allocation_Report'!$A$9:$D$314,4,FALSE)*$N$321,0)</f>
        <v>3160</v>
      </c>
      <c r="O147" s="40">
        <f>ROUND(VLOOKUP($A147,'Contribution Allocation_Report'!$A$9:$D$314,4,FALSE)*$O$321,0)</f>
        <v>-8528</v>
      </c>
      <c r="Q147" s="40">
        <f>+VLOOKUP(A147,'Change in Proportion Layers'!$AK$8:$AP$318,2,FALSE)+K147</f>
        <v>-397531</v>
      </c>
      <c r="R147" s="40">
        <f>+VLOOKUP(A147,'Change in Proportion Layers'!$AK$8:$AP$318,3,FALSE)+L147</f>
        <v>-279093</v>
      </c>
      <c r="S147" s="40">
        <f>+VLOOKUP(A147,'Change in Proportion Layers'!$AK$8:$AP$318,4,FALSE)+M147</f>
        <v>-136318</v>
      </c>
      <c r="T147" s="40">
        <f>+VLOOKUP(A147,'Change in Proportion Layers'!$AK$8:$AP$318,5,FALSE)+N147</f>
        <v>-13928</v>
      </c>
      <c r="U147" s="40">
        <f>+VLOOKUP(A147,'Change in Proportion Layers'!$AK$8:$AP$318,6,FALSE)+O147</f>
        <v>-28316</v>
      </c>
      <c r="W147" s="40">
        <f>('OPEB Amounts_Report'!G147-'OPEB Amounts_Report'!M147)</f>
        <v>-855186</v>
      </c>
      <c r="X147" s="109">
        <f t="shared" si="29"/>
        <v>0</v>
      </c>
    </row>
    <row r="148" spans="1:24">
      <c r="A148" s="24">
        <v>10120</v>
      </c>
      <c r="B148" s="3" t="s">
        <v>135</v>
      </c>
      <c r="C148" s="38">
        <f t="shared" si="30"/>
        <v>-190357</v>
      </c>
      <c r="D148" s="38">
        <f t="shared" si="31"/>
        <v>-132926</v>
      </c>
      <c r="E148" s="38">
        <f t="shared" si="32"/>
        <v>-60121</v>
      </c>
      <c r="F148" s="38">
        <f t="shared" si="33"/>
        <v>-6718</v>
      </c>
      <c r="G148" s="38">
        <f t="shared" si="34"/>
        <v>-5240</v>
      </c>
      <c r="I148" s="41"/>
      <c r="K148" s="40">
        <f>ROUND(VLOOKUP($A148,'Contribution Allocation_Report'!$A$9:$D$314,4,FALSE)*$K$321,0)</f>
        <v>-183071</v>
      </c>
      <c r="L148" s="40">
        <f>ROUND(VLOOKUP($A148,'Contribution Allocation_Report'!$A$9:$D$314,4,FALSE)*$L$321,0)</f>
        <v>-123428</v>
      </c>
      <c r="M148" s="40">
        <f>ROUND(VLOOKUP($A148,'Contribution Allocation_Report'!$A$9:$D$314,4,FALSE)*$M$321,0)</f>
        <v>-39589</v>
      </c>
      <c r="N148" s="40">
        <f>ROUND(VLOOKUP($A148,'Contribution Allocation_Report'!$A$9:$D$314,4,FALSE)*$N$321,0)</f>
        <v>1630</v>
      </c>
      <c r="O148" s="40">
        <f>ROUND(VLOOKUP($A148,'Contribution Allocation_Report'!$A$9:$D$314,4,FALSE)*$O$321,0)</f>
        <v>-4399</v>
      </c>
      <c r="Q148" s="40">
        <f>+VLOOKUP(A148,'Change in Proportion Layers'!$AK$8:$AP$318,2,FALSE)+K148</f>
        <v>-190357</v>
      </c>
      <c r="R148" s="40">
        <f>+VLOOKUP(A148,'Change in Proportion Layers'!$AK$8:$AP$318,3,FALSE)+L148</f>
        <v>-132926</v>
      </c>
      <c r="S148" s="40">
        <f>+VLOOKUP(A148,'Change in Proportion Layers'!$AK$8:$AP$318,4,FALSE)+M148</f>
        <v>-60121</v>
      </c>
      <c r="T148" s="40">
        <f>+VLOOKUP(A148,'Change in Proportion Layers'!$AK$8:$AP$318,5,FALSE)+N148</f>
        <v>-6718</v>
      </c>
      <c r="U148" s="40">
        <f>+VLOOKUP(A148,'Change in Proportion Layers'!$AK$8:$AP$318,6,FALSE)+O148-1</f>
        <v>-5240</v>
      </c>
      <c r="W148" s="40">
        <f>('OPEB Amounts_Report'!G148-'OPEB Amounts_Report'!M148)</f>
        <v>-395362</v>
      </c>
      <c r="X148" s="109">
        <f t="shared" si="29"/>
        <v>0</v>
      </c>
    </row>
    <row r="149" spans="1:24">
      <c r="A149" s="22">
        <v>23070</v>
      </c>
      <c r="B149" s="23" t="s">
        <v>136</v>
      </c>
      <c r="C149" s="37">
        <f t="shared" si="30"/>
        <v>-344374</v>
      </c>
      <c r="D149" s="37">
        <f t="shared" si="31"/>
        <v>-248622</v>
      </c>
      <c r="E149" s="37">
        <f t="shared" si="32"/>
        <v>-112310</v>
      </c>
      <c r="F149" s="37">
        <f t="shared" si="33"/>
        <v>-721</v>
      </c>
      <c r="G149" s="37">
        <f t="shared" si="34"/>
        <v>4006</v>
      </c>
      <c r="I149" s="41"/>
      <c r="K149" s="40">
        <f>ROUND(VLOOKUP($A149,'Contribution Allocation_Report'!$A$9:$D$314,4,FALSE)*$K$321,0)</f>
        <v>-284777</v>
      </c>
      <c r="L149" s="40">
        <f>ROUND(VLOOKUP($A149,'Contribution Allocation_Report'!$A$9:$D$314,4,FALSE)*$L$321,0)</f>
        <v>-191998</v>
      </c>
      <c r="M149" s="40">
        <f>ROUND(VLOOKUP($A149,'Contribution Allocation_Report'!$A$9:$D$314,4,FALSE)*$M$321,0)</f>
        <v>-61583</v>
      </c>
      <c r="N149" s="40">
        <f>ROUND(VLOOKUP($A149,'Contribution Allocation_Report'!$A$9:$D$314,4,FALSE)*$N$321,0)</f>
        <v>2535</v>
      </c>
      <c r="O149" s="40">
        <f>ROUND(VLOOKUP($A149,'Contribution Allocation_Report'!$A$9:$D$314,4,FALSE)*$O$321,0)</f>
        <v>-6842</v>
      </c>
      <c r="Q149" s="40">
        <f>+VLOOKUP(A149,'Change in Proportion Layers'!$AK$8:$AP$318,2,FALSE)+K149</f>
        <v>-344374</v>
      </c>
      <c r="R149" s="40">
        <f>+VLOOKUP(A149,'Change in Proportion Layers'!$AK$8:$AP$318,3,FALSE)+L149</f>
        <v>-248622</v>
      </c>
      <c r="S149" s="40">
        <f>+VLOOKUP(A149,'Change in Proportion Layers'!$AK$8:$AP$318,4,FALSE)+M149</f>
        <v>-112310</v>
      </c>
      <c r="T149" s="40">
        <f>+VLOOKUP(A149,'Change in Proportion Layers'!$AK$8:$AP$318,5,FALSE)+N149</f>
        <v>-721</v>
      </c>
      <c r="U149" s="40">
        <f>+VLOOKUP(A149,'Change in Proportion Layers'!$AK$8:$AP$318,6,FALSE)+O149</f>
        <v>4006</v>
      </c>
      <c r="W149" s="40">
        <f>('OPEB Amounts_Report'!G149-'OPEB Amounts_Report'!M149)</f>
        <v>-702021</v>
      </c>
      <c r="X149" s="109">
        <f t="shared" si="29"/>
        <v>0</v>
      </c>
    </row>
    <row r="150" spans="1:24">
      <c r="A150" s="24">
        <v>3170</v>
      </c>
      <c r="B150" s="3" t="s">
        <v>137</v>
      </c>
      <c r="C150" s="38">
        <f t="shared" si="30"/>
        <v>-3536438</v>
      </c>
      <c r="D150" s="38">
        <f t="shared" si="31"/>
        <v>-2477195</v>
      </c>
      <c r="E150" s="38">
        <f t="shared" si="32"/>
        <v>-427260</v>
      </c>
      <c r="F150" s="38">
        <f t="shared" si="33"/>
        <v>494511</v>
      </c>
      <c r="G150" s="38">
        <f t="shared" si="34"/>
        <v>-80386</v>
      </c>
      <c r="I150" s="41"/>
      <c r="K150" s="40">
        <f>ROUND(VLOOKUP($A150,'Contribution Allocation_Report'!$A$9:$D$314,4,FALSE)*$K$321,0)</f>
        <v>-4079996</v>
      </c>
      <c r="L150" s="40">
        <f>ROUND(VLOOKUP($A150,'Contribution Allocation_Report'!$A$9:$D$314,4,FALSE)*$L$321,0)</f>
        <v>-2750754</v>
      </c>
      <c r="M150" s="40">
        <f>ROUND(VLOOKUP($A150,'Contribution Allocation_Report'!$A$9:$D$314,4,FALSE)*$M$321,0)</f>
        <v>-882305</v>
      </c>
      <c r="N150" s="40">
        <f>ROUND(VLOOKUP($A150,'Contribution Allocation_Report'!$A$9:$D$314,4,FALSE)*$N$321,0)</f>
        <v>36321</v>
      </c>
      <c r="O150" s="40">
        <f>ROUND(VLOOKUP($A150,'Contribution Allocation_Report'!$A$9:$D$314,4,FALSE)*$O$321,0)</f>
        <v>-98028</v>
      </c>
      <c r="Q150" s="40">
        <f>+VLOOKUP(A150,'Change in Proportion Layers'!$AK$8:$AP$318,2,FALSE)+K150</f>
        <v>-3536438</v>
      </c>
      <c r="R150" s="40">
        <f>+VLOOKUP(A150,'Change in Proportion Layers'!$AK$8:$AP$318,3,FALSE)+L150</f>
        <v>-2477195</v>
      </c>
      <c r="S150" s="40">
        <f>+VLOOKUP(A150,'Change in Proportion Layers'!$AK$8:$AP$318,4,FALSE)+M150</f>
        <v>-427260</v>
      </c>
      <c r="T150" s="40">
        <f>+VLOOKUP(A150,'Change in Proportion Layers'!$AK$8:$AP$318,5,FALSE)+N150</f>
        <v>494511</v>
      </c>
      <c r="U150" s="40">
        <f>+VLOOKUP(A150,'Change in Proportion Layers'!$AK$8:$AP$318,6,FALSE)+O150</f>
        <v>-80386</v>
      </c>
      <c r="W150" s="40">
        <f>('OPEB Amounts_Report'!G150-'OPEB Amounts_Report'!M150)</f>
        <v>-6026768</v>
      </c>
      <c r="X150" s="109">
        <f t="shared" si="29"/>
        <v>0</v>
      </c>
    </row>
    <row r="151" spans="1:24">
      <c r="A151" s="22">
        <v>32093</v>
      </c>
      <c r="B151" s="23" t="s">
        <v>138</v>
      </c>
      <c r="C151" s="39">
        <f t="shared" si="30"/>
        <v>-2396841</v>
      </c>
      <c r="D151" s="39">
        <f t="shared" si="31"/>
        <v>-1703891</v>
      </c>
      <c r="E151" s="39">
        <f t="shared" si="32"/>
        <v>-571938</v>
      </c>
      <c r="F151" s="39">
        <f t="shared" si="33"/>
        <v>-64221</v>
      </c>
      <c r="G151" s="39">
        <f t="shared" si="34"/>
        <v>-126166</v>
      </c>
      <c r="I151" s="41"/>
      <c r="K151" s="40">
        <f>ROUND(VLOOKUP($A151,'Contribution Allocation_Report'!$A$9:$D$314,4,FALSE)*$K$321,0)</f>
        <v>-2393738</v>
      </c>
      <c r="L151" s="40">
        <f>ROUND(VLOOKUP($A151,'Contribution Allocation_Report'!$A$9:$D$314,4,FALSE)*$L$321,0)</f>
        <v>-1613870</v>
      </c>
      <c r="M151" s="40">
        <f>ROUND(VLOOKUP($A151,'Contribution Allocation_Report'!$A$9:$D$314,4,FALSE)*$M$321,0)</f>
        <v>-517649</v>
      </c>
      <c r="N151" s="40">
        <f>ROUND(VLOOKUP($A151,'Contribution Allocation_Report'!$A$9:$D$314,4,FALSE)*$N$321,0)</f>
        <v>21309</v>
      </c>
      <c r="O151" s="40">
        <f>ROUND(VLOOKUP($A151,'Contribution Allocation_Report'!$A$9:$D$314,4,FALSE)*$O$321,0)</f>
        <v>-57513</v>
      </c>
      <c r="Q151" s="40">
        <f>+VLOOKUP(A151,'Change in Proportion Layers'!$AK$8:$AP$318,2,FALSE)+K151</f>
        <v>-2396841</v>
      </c>
      <c r="R151" s="40">
        <f>+VLOOKUP(A151,'Change in Proportion Layers'!$AK$8:$AP$318,3,FALSE)+L151</f>
        <v>-1703891</v>
      </c>
      <c r="S151" s="40">
        <f>+VLOOKUP(A151,'Change in Proportion Layers'!$AK$8:$AP$318,4,FALSE)+M151</f>
        <v>-571938</v>
      </c>
      <c r="T151" s="40">
        <f>+VLOOKUP(A151,'Change in Proportion Layers'!$AK$8:$AP$318,5,FALSE)+N151</f>
        <v>-64221</v>
      </c>
      <c r="U151" s="40">
        <f>+VLOOKUP(A151,'Change in Proportion Layers'!$AK$8:$AP$318,6,FALSE)+O151-1</f>
        <v>-126166</v>
      </c>
      <c r="W151" s="40">
        <f>('OPEB Amounts_Report'!G151-'OPEB Amounts_Report'!M151)</f>
        <v>-4863057</v>
      </c>
      <c r="X151" s="109">
        <f t="shared" si="29"/>
        <v>0</v>
      </c>
    </row>
    <row r="152" spans="1:24">
      <c r="A152" s="24">
        <v>14045</v>
      </c>
      <c r="B152" s="3" t="s">
        <v>139</v>
      </c>
      <c r="C152" s="38">
        <f t="shared" si="30"/>
        <v>-4035788</v>
      </c>
      <c r="D152" s="38">
        <f t="shared" si="31"/>
        <v>-2549796</v>
      </c>
      <c r="E152" s="38">
        <f t="shared" si="32"/>
        <v>-512566</v>
      </c>
      <c r="F152" s="38">
        <f t="shared" si="33"/>
        <v>-49505</v>
      </c>
      <c r="G152" s="38">
        <f t="shared" si="34"/>
        <v>-177635</v>
      </c>
      <c r="I152" s="41"/>
      <c r="K152" s="40">
        <f>ROUND(VLOOKUP($A152,'Contribution Allocation_Report'!$A$9:$D$314,4,FALSE)*$K$321,0)</f>
        <v>-4584359</v>
      </c>
      <c r="L152" s="40">
        <f>ROUND(VLOOKUP($A152,'Contribution Allocation_Report'!$A$9:$D$314,4,FALSE)*$L$321,0)</f>
        <v>-3090798</v>
      </c>
      <c r="M152" s="40">
        <f>ROUND(VLOOKUP($A152,'Contribution Allocation_Report'!$A$9:$D$314,4,FALSE)*$M$321,0)</f>
        <v>-991374</v>
      </c>
      <c r="N152" s="40">
        <f>ROUND(VLOOKUP($A152,'Contribution Allocation_Report'!$A$9:$D$314,4,FALSE)*$N$321,0)</f>
        <v>40810</v>
      </c>
      <c r="O152" s="40">
        <f>ROUND(VLOOKUP($A152,'Contribution Allocation_Report'!$A$9:$D$314,4,FALSE)*$O$321,0)</f>
        <v>-110146</v>
      </c>
      <c r="Q152" s="40">
        <f>+VLOOKUP(A152,'Change in Proportion Layers'!$AK$8:$AP$318,2,FALSE)+K152</f>
        <v>-4035788</v>
      </c>
      <c r="R152" s="40">
        <f>+VLOOKUP(A152,'Change in Proportion Layers'!$AK$8:$AP$318,3,FALSE)+L152</f>
        <v>-2549796</v>
      </c>
      <c r="S152" s="40">
        <f>+VLOOKUP(A152,'Change in Proportion Layers'!$AK$8:$AP$318,4,FALSE)+M152</f>
        <v>-512566</v>
      </c>
      <c r="T152" s="40">
        <f>+VLOOKUP(A152,'Change in Proportion Layers'!$AK$8:$AP$318,5,FALSE)+N152</f>
        <v>-49505</v>
      </c>
      <c r="U152" s="40">
        <f>+VLOOKUP(A152,'Change in Proportion Layers'!$AK$8:$AP$318,6,FALSE)+O152</f>
        <v>-177635</v>
      </c>
      <c r="W152" s="40">
        <f>('OPEB Amounts_Report'!G152-'OPEB Amounts_Report'!M152)</f>
        <v>-7325290</v>
      </c>
      <c r="X152" s="109">
        <f t="shared" si="29"/>
        <v>0</v>
      </c>
    </row>
    <row r="153" spans="1:24">
      <c r="A153" s="22">
        <v>2322</v>
      </c>
      <c r="B153" s="23" t="s">
        <v>140</v>
      </c>
      <c r="C153" s="37">
        <f t="shared" si="30"/>
        <v>-102766</v>
      </c>
      <c r="D153" s="37">
        <f t="shared" si="31"/>
        <v>-73823</v>
      </c>
      <c r="E153" s="37">
        <f t="shared" si="32"/>
        <v>-64178</v>
      </c>
      <c r="F153" s="37">
        <f t="shared" si="33"/>
        <v>-43106</v>
      </c>
      <c r="G153" s="37">
        <f t="shared" si="34"/>
        <v>-7158</v>
      </c>
      <c r="I153" s="41"/>
      <c r="K153" s="40">
        <f>ROUND(VLOOKUP($A153,'Contribution Allocation_Report'!$A$9:$D$314,4,FALSE)*$K$321,0)</f>
        <v>-77492</v>
      </c>
      <c r="L153" s="40">
        <f>ROUND(VLOOKUP($A153,'Contribution Allocation_Report'!$A$9:$D$314,4,FALSE)*$L$321,0)</f>
        <v>-52245</v>
      </c>
      <c r="M153" s="40">
        <f>ROUND(VLOOKUP($A153,'Contribution Allocation_Report'!$A$9:$D$314,4,FALSE)*$M$321,0)</f>
        <v>-16758</v>
      </c>
      <c r="N153" s="40">
        <f>ROUND(VLOOKUP($A153,'Contribution Allocation_Report'!$A$9:$D$314,4,FALSE)*$N$321,0)</f>
        <v>690</v>
      </c>
      <c r="O153" s="40">
        <f>ROUND(VLOOKUP($A153,'Contribution Allocation_Report'!$A$9:$D$314,4,FALSE)*$O$321,0)</f>
        <v>-1862</v>
      </c>
      <c r="Q153" s="40">
        <f>+VLOOKUP(A153,'Change in Proportion Layers'!$AK$8:$AP$318,2,FALSE)+K153</f>
        <v>-102766</v>
      </c>
      <c r="R153" s="40">
        <f>+VLOOKUP(A153,'Change in Proportion Layers'!$AK$8:$AP$318,3,FALSE)+L153</f>
        <v>-73823</v>
      </c>
      <c r="S153" s="40">
        <f>+VLOOKUP(A153,'Change in Proportion Layers'!$AK$8:$AP$318,4,FALSE)+M153</f>
        <v>-64178</v>
      </c>
      <c r="T153" s="40">
        <f>+VLOOKUP(A153,'Change in Proportion Layers'!$AK$8:$AP$318,5,FALSE)+N153</f>
        <v>-43106</v>
      </c>
      <c r="U153" s="40">
        <f>+VLOOKUP(A153,'Change in Proportion Layers'!$AK$8:$AP$318,6,FALSE)+O153</f>
        <v>-7158</v>
      </c>
      <c r="W153" s="40">
        <f>('OPEB Amounts_Report'!G153-'OPEB Amounts_Report'!M153)</f>
        <v>-291031</v>
      </c>
      <c r="X153" s="109">
        <f t="shared" si="29"/>
        <v>0</v>
      </c>
    </row>
    <row r="154" spans="1:24">
      <c r="A154" s="24">
        <v>3006</v>
      </c>
      <c r="B154" s="3" t="s">
        <v>141</v>
      </c>
      <c r="C154" s="38">
        <f t="shared" si="30"/>
        <v>-284893</v>
      </c>
      <c r="D154" s="38">
        <f t="shared" si="31"/>
        <v>-234234</v>
      </c>
      <c r="E154" s="38">
        <f t="shared" si="32"/>
        <v>-24045</v>
      </c>
      <c r="F154" s="38">
        <f t="shared" si="33"/>
        <v>26787</v>
      </c>
      <c r="G154" s="38">
        <f t="shared" si="34"/>
        <v>16406</v>
      </c>
      <c r="I154" s="41"/>
      <c r="K154" s="40">
        <f>ROUND(VLOOKUP($A154,'Contribution Allocation_Report'!$A$9:$D$314,4,FALSE)*$K$321,0)</f>
        <v>-393910</v>
      </c>
      <c r="L154" s="40">
        <f>ROUND(VLOOKUP($A154,'Contribution Allocation_Report'!$A$9:$D$314,4,FALSE)*$L$321,0)</f>
        <v>-265576</v>
      </c>
      <c r="M154" s="40">
        <f>ROUND(VLOOKUP($A154,'Contribution Allocation_Report'!$A$9:$D$314,4,FALSE)*$M$321,0)</f>
        <v>-85184</v>
      </c>
      <c r="N154" s="40">
        <f>ROUND(VLOOKUP($A154,'Contribution Allocation_Report'!$A$9:$D$314,4,FALSE)*$N$321,0)</f>
        <v>3507</v>
      </c>
      <c r="O154" s="40">
        <f>ROUND(VLOOKUP($A154,'Contribution Allocation_Report'!$A$9:$D$314,4,FALSE)*$O$321,0)</f>
        <v>-9464</v>
      </c>
      <c r="Q154" s="40">
        <f>+VLOOKUP(A154,'Change in Proportion Layers'!$AK$8:$AP$318,2,FALSE)+K154</f>
        <v>-284893</v>
      </c>
      <c r="R154" s="40">
        <f>+VLOOKUP(A154,'Change in Proportion Layers'!$AK$8:$AP$318,3,FALSE)+L154</f>
        <v>-234234</v>
      </c>
      <c r="S154" s="40">
        <f>+VLOOKUP(A154,'Change in Proportion Layers'!$AK$8:$AP$318,4,FALSE)+M154</f>
        <v>-24045</v>
      </c>
      <c r="T154" s="40">
        <f>+VLOOKUP(A154,'Change in Proportion Layers'!$AK$8:$AP$318,5,FALSE)+N154</f>
        <v>26787</v>
      </c>
      <c r="U154" s="40">
        <f>+VLOOKUP(A154,'Change in Proportion Layers'!$AK$8:$AP$318,6,FALSE)+O154</f>
        <v>16406</v>
      </c>
      <c r="W154" s="40">
        <f>('OPEB Amounts_Report'!G154-'OPEB Amounts_Report'!M154)</f>
        <v>-499979</v>
      </c>
      <c r="X154" s="109">
        <f t="shared" si="29"/>
        <v>0</v>
      </c>
    </row>
    <row r="155" spans="1:24">
      <c r="A155" s="22">
        <v>6019</v>
      </c>
      <c r="B155" s="23" t="s">
        <v>142</v>
      </c>
      <c r="C155" s="37">
        <f t="shared" si="30"/>
        <v>-1725216</v>
      </c>
      <c r="D155" s="37">
        <f t="shared" si="31"/>
        <v>-1191270</v>
      </c>
      <c r="E155" s="37">
        <f t="shared" si="32"/>
        <v>-156255</v>
      </c>
      <c r="F155" s="37">
        <f t="shared" si="33"/>
        <v>-14168</v>
      </c>
      <c r="G155" s="37">
        <f t="shared" si="34"/>
        <v>-17165</v>
      </c>
      <c r="I155" s="41"/>
      <c r="K155" s="40">
        <f>ROUND(VLOOKUP($A155,'Contribution Allocation_Report'!$A$9:$D$314,4,FALSE)*$K$321,0)</f>
        <v>-1987330</v>
      </c>
      <c r="L155" s="40">
        <f>ROUND(VLOOKUP($A155,'Contribution Allocation_Report'!$A$9:$D$314,4,FALSE)*$L$321,0)</f>
        <v>-1339868</v>
      </c>
      <c r="M155" s="40">
        <f>ROUND(VLOOKUP($A155,'Contribution Allocation_Report'!$A$9:$D$314,4,FALSE)*$M$321,0)</f>
        <v>-429763</v>
      </c>
      <c r="N155" s="40">
        <f>ROUND(VLOOKUP($A155,'Contribution Allocation_Report'!$A$9:$D$314,4,FALSE)*$N$321,0)</f>
        <v>17691</v>
      </c>
      <c r="O155" s="40">
        <f>ROUND(VLOOKUP($A155,'Contribution Allocation_Report'!$A$9:$D$314,4,FALSE)*$O$321,0)</f>
        <v>-47749</v>
      </c>
      <c r="Q155" s="40">
        <f>+VLOOKUP(A155,'Change in Proportion Layers'!$AK$8:$AP$318,2,FALSE)+K155</f>
        <v>-1725216</v>
      </c>
      <c r="R155" s="40">
        <f>+VLOOKUP(A155,'Change in Proportion Layers'!$AK$8:$AP$318,3,FALSE)+L155</f>
        <v>-1191270</v>
      </c>
      <c r="S155" s="40">
        <f>+VLOOKUP(A155,'Change in Proportion Layers'!$AK$8:$AP$318,4,FALSE)+M155</f>
        <v>-156255</v>
      </c>
      <c r="T155" s="40">
        <f>+VLOOKUP(A155,'Change in Proportion Layers'!$AK$8:$AP$318,5,FALSE)+N155</f>
        <v>-14168</v>
      </c>
      <c r="U155" s="40">
        <f>+VLOOKUP(A155,'Change in Proportion Layers'!$AK$8:$AP$318,6,FALSE)+O155+1</f>
        <v>-17165</v>
      </c>
      <c r="W155" s="40">
        <f>('OPEB Amounts_Report'!G155-'OPEB Amounts_Report'!M155)</f>
        <v>-3104074</v>
      </c>
      <c r="X155" s="109">
        <f t="shared" si="29"/>
        <v>0</v>
      </c>
    </row>
    <row r="156" spans="1:24">
      <c r="A156" s="24">
        <v>12128</v>
      </c>
      <c r="B156" s="3" t="s">
        <v>143</v>
      </c>
      <c r="C156" s="38">
        <f t="shared" si="30"/>
        <v>-611996</v>
      </c>
      <c r="D156" s="38">
        <f t="shared" si="31"/>
        <v>-407325</v>
      </c>
      <c r="E156" s="38">
        <f t="shared" si="32"/>
        <v>-110775</v>
      </c>
      <c r="F156" s="38">
        <f t="shared" si="33"/>
        <v>13433</v>
      </c>
      <c r="G156" s="38">
        <f t="shared" si="34"/>
        <v>7345</v>
      </c>
      <c r="I156" s="41"/>
      <c r="K156" s="40">
        <f>ROUND(VLOOKUP($A156,'Contribution Allocation_Report'!$A$9:$D$314,4,FALSE)*$K$321,0)</f>
        <v>-395356</v>
      </c>
      <c r="L156" s="40">
        <f>ROUND(VLOOKUP($A156,'Contribution Allocation_Report'!$A$9:$D$314,4,FALSE)*$L$321,0)</f>
        <v>-266551</v>
      </c>
      <c r="M156" s="40">
        <f>ROUND(VLOOKUP($A156,'Contribution Allocation_Report'!$A$9:$D$314,4,FALSE)*$M$321,0)</f>
        <v>-85496</v>
      </c>
      <c r="N156" s="40">
        <f>ROUND(VLOOKUP($A156,'Contribution Allocation_Report'!$A$9:$D$314,4,FALSE)*$N$321,0)</f>
        <v>3520</v>
      </c>
      <c r="O156" s="40">
        <f>ROUND(VLOOKUP($A156,'Contribution Allocation_Report'!$A$9:$D$314,4,FALSE)*$O$321,0)</f>
        <v>-9499</v>
      </c>
      <c r="Q156" s="40">
        <f>+VLOOKUP(A156,'Change in Proportion Layers'!$AK$8:$AP$318,2,FALSE)+K156</f>
        <v>-611996</v>
      </c>
      <c r="R156" s="40">
        <f>+VLOOKUP(A156,'Change in Proportion Layers'!$AK$8:$AP$318,3,FALSE)+L156</f>
        <v>-407325</v>
      </c>
      <c r="S156" s="40">
        <f>+VLOOKUP(A156,'Change in Proportion Layers'!$AK$8:$AP$318,4,FALSE)+M156</f>
        <v>-110775</v>
      </c>
      <c r="T156" s="40">
        <f>+VLOOKUP(A156,'Change in Proportion Layers'!$AK$8:$AP$318,5,FALSE)+N156</f>
        <v>13433</v>
      </c>
      <c r="U156" s="40">
        <f>+VLOOKUP(A156,'Change in Proportion Layers'!$AK$8:$AP$318,6,FALSE)+O156-2</f>
        <v>7345</v>
      </c>
      <c r="W156" s="40">
        <f>('OPEB Amounts_Report'!G156-'OPEB Amounts_Report'!M156)</f>
        <v>-1109318</v>
      </c>
      <c r="X156" s="109">
        <f t="shared" si="29"/>
        <v>0</v>
      </c>
    </row>
    <row r="157" spans="1:24">
      <c r="A157" s="22">
        <v>3180</v>
      </c>
      <c r="B157" s="23" t="s">
        <v>144</v>
      </c>
      <c r="C157" s="37">
        <f t="shared" si="30"/>
        <v>-774085</v>
      </c>
      <c r="D157" s="37">
        <f t="shared" si="31"/>
        <v>-501609</v>
      </c>
      <c r="E157" s="37">
        <f t="shared" si="32"/>
        <v>-226095</v>
      </c>
      <c r="F157" s="37">
        <f t="shared" si="33"/>
        <v>-31040</v>
      </c>
      <c r="G157" s="37">
        <f t="shared" si="34"/>
        <v>-16495</v>
      </c>
      <c r="I157" s="41"/>
      <c r="K157" s="40">
        <f>ROUND(VLOOKUP($A157,'Contribution Allocation_Report'!$A$9:$D$314,4,FALSE)*$K$321,0)</f>
        <v>-698793</v>
      </c>
      <c r="L157" s="40">
        <f>ROUND(VLOOKUP($A157,'Contribution Allocation_Report'!$A$9:$D$314,4,FALSE)*$L$321,0)</f>
        <v>-471130</v>
      </c>
      <c r="M157" s="40">
        <f>ROUND(VLOOKUP($A157,'Contribution Allocation_Report'!$A$9:$D$314,4,FALSE)*$M$321,0)</f>
        <v>-151115</v>
      </c>
      <c r="N157" s="40">
        <f>ROUND(VLOOKUP($A157,'Contribution Allocation_Report'!$A$9:$D$314,4,FALSE)*$N$321,0)</f>
        <v>6221</v>
      </c>
      <c r="O157" s="40">
        <f>ROUND(VLOOKUP($A157,'Contribution Allocation_Report'!$A$9:$D$314,4,FALSE)*$O$321,0)</f>
        <v>-16790</v>
      </c>
      <c r="Q157" s="40">
        <f>+VLOOKUP(A157,'Change in Proportion Layers'!$AK$8:$AP$318,2,FALSE)+K157</f>
        <v>-774085</v>
      </c>
      <c r="R157" s="40">
        <f>+VLOOKUP(A157,'Change in Proportion Layers'!$AK$8:$AP$318,3,FALSE)+L157</f>
        <v>-501609</v>
      </c>
      <c r="S157" s="40">
        <f>+VLOOKUP(A157,'Change in Proportion Layers'!$AK$8:$AP$318,4,FALSE)+M157</f>
        <v>-226095</v>
      </c>
      <c r="T157" s="40">
        <f>+VLOOKUP(A157,'Change in Proportion Layers'!$AK$8:$AP$318,5,FALSE)+N157</f>
        <v>-31040</v>
      </c>
      <c r="U157" s="40">
        <f>+VLOOKUP(A157,'Change in Proportion Layers'!$AK$8:$AP$318,6,FALSE)+O157</f>
        <v>-16495</v>
      </c>
      <c r="W157" s="40">
        <f>('OPEB Amounts_Report'!G157-'OPEB Amounts_Report'!M157)</f>
        <v>-1549324</v>
      </c>
      <c r="X157" s="109">
        <f t="shared" si="29"/>
        <v>0</v>
      </c>
    </row>
    <row r="158" spans="1:24">
      <c r="A158" s="24">
        <v>25075</v>
      </c>
      <c r="B158" s="3" t="s">
        <v>145</v>
      </c>
      <c r="C158" s="38">
        <f t="shared" si="30"/>
        <v>-263055</v>
      </c>
      <c r="D158" s="38">
        <f t="shared" si="31"/>
        <v>-206662</v>
      </c>
      <c r="E158" s="38">
        <f t="shared" si="32"/>
        <v>-129800</v>
      </c>
      <c r="F158" s="38">
        <f t="shared" si="33"/>
        <v>-41259</v>
      </c>
      <c r="G158" s="38">
        <f t="shared" si="34"/>
        <v>-40877</v>
      </c>
      <c r="I158" s="41"/>
      <c r="K158" s="40">
        <f>ROUND(VLOOKUP($A158,'Contribution Allocation_Report'!$A$9:$D$314,4,FALSE)*$K$321,0)</f>
        <v>-267246</v>
      </c>
      <c r="L158" s="40">
        <f>ROUND(VLOOKUP($A158,'Contribution Allocation_Report'!$A$9:$D$314,4,FALSE)*$L$321,0)</f>
        <v>-180179</v>
      </c>
      <c r="M158" s="40">
        <f>ROUND(VLOOKUP($A158,'Contribution Allocation_Report'!$A$9:$D$314,4,FALSE)*$M$321,0)</f>
        <v>-57792</v>
      </c>
      <c r="N158" s="40">
        <f>ROUND(VLOOKUP($A158,'Contribution Allocation_Report'!$A$9:$D$314,4,FALSE)*$N$321,0)</f>
        <v>2379</v>
      </c>
      <c r="O158" s="40">
        <f>ROUND(VLOOKUP($A158,'Contribution Allocation_Report'!$A$9:$D$314,4,FALSE)*$O$321,0)</f>
        <v>-6421</v>
      </c>
      <c r="Q158" s="40">
        <f>+VLOOKUP(A158,'Change in Proportion Layers'!$AK$8:$AP$318,2,FALSE)+K158</f>
        <v>-263055</v>
      </c>
      <c r="R158" s="40">
        <f>+VLOOKUP(A158,'Change in Proportion Layers'!$AK$8:$AP$318,3,FALSE)+L158</f>
        <v>-206662</v>
      </c>
      <c r="S158" s="40">
        <f>+VLOOKUP(A158,'Change in Proportion Layers'!$AK$8:$AP$318,4,FALSE)+M158</f>
        <v>-129800</v>
      </c>
      <c r="T158" s="40">
        <f>+VLOOKUP(A158,'Change in Proportion Layers'!$AK$8:$AP$318,5,FALSE)+N158</f>
        <v>-41259</v>
      </c>
      <c r="U158" s="40">
        <f>+VLOOKUP(A158,'Change in Proportion Layers'!$AK$8:$AP$318,6,FALSE)+O158</f>
        <v>-40877</v>
      </c>
      <c r="W158" s="40">
        <f>('OPEB Amounts_Report'!G158-'OPEB Amounts_Report'!M158)</f>
        <v>-681653</v>
      </c>
      <c r="X158" s="109">
        <f t="shared" si="29"/>
        <v>0</v>
      </c>
    </row>
    <row r="159" spans="1:24">
      <c r="A159" s="22">
        <v>2311</v>
      </c>
      <c r="B159" s="23" t="s">
        <v>411</v>
      </c>
      <c r="C159" s="37">
        <f>+Q159</f>
        <v>-120990</v>
      </c>
      <c r="D159" s="37">
        <f>+R159</f>
        <v>-55426</v>
      </c>
      <c r="E159" s="37">
        <f>+S159</f>
        <v>-17369</v>
      </c>
      <c r="F159" s="37">
        <f>+T159</f>
        <v>9366</v>
      </c>
      <c r="G159" s="37">
        <f>+U159</f>
        <v>2136</v>
      </c>
      <c r="I159" s="41"/>
      <c r="K159" s="40">
        <f>ROUND(VLOOKUP($A159,'Contribution Allocation_Report'!$A$9:$D$314,4,FALSE)*$K$321,0)</f>
        <v>-131837</v>
      </c>
      <c r="L159" s="40">
        <f>ROUND(VLOOKUP($A159,'Contribution Allocation_Report'!$A$9:$D$314,4,FALSE)*$L$321,0)</f>
        <v>-88885</v>
      </c>
      <c r="M159" s="40">
        <f>ROUND(VLOOKUP($A159,'Contribution Allocation_Report'!$A$9:$D$314,4,FALSE)*$M$321,0)</f>
        <v>-28510</v>
      </c>
      <c r="N159" s="40">
        <f>ROUND(VLOOKUP($A159,'Contribution Allocation_Report'!$A$9:$D$314,4,FALSE)*$N$321,0)</f>
        <v>1174</v>
      </c>
      <c r="O159" s="40">
        <f>ROUND(VLOOKUP($A159,'Contribution Allocation_Report'!$A$9:$D$314,4,FALSE)*$O$321,0)</f>
        <v>-3168</v>
      </c>
      <c r="Q159" s="40">
        <f>+VLOOKUP(A159,'Change in Proportion Layers'!$AK$8:$AP$318,2,FALSE)+K159</f>
        <v>-120990</v>
      </c>
      <c r="R159" s="40">
        <f>+VLOOKUP(A159,'Change in Proportion Layers'!$AK$8:$AP$318,3,FALSE)+L159</f>
        <v>-55426</v>
      </c>
      <c r="S159" s="40">
        <f>+VLOOKUP(A159,'Change in Proportion Layers'!$AK$8:$AP$318,4,FALSE)+M159</f>
        <v>-17369</v>
      </c>
      <c r="T159" s="40">
        <f>+VLOOKUP(A159,'Change in Proportion Layers'!$AK$8:$AP$318,5,FALSE)+N159</f>
        <v>9366</v>
      </c>
      <c r="U159" s="40">
        <f>+VLOOKUP(A159,'Change in Proportion Layers'!$AK$8:$AP$318,6,FALSE)+O159-1</f>
        <v>2136</v>
      </c>
      <c r="W159" s="40">
        <f>('OPEB Amounts_Report'!G159-'OPEB Amounts_Report'!M159)</f>
        <v>-182283</v>
      </c>
      <c r="X159" s="109">
        <f t="shared" si="29"/>
        <v>0</v>
      </c>
    </row>
    <row r="160" spans="1:24">
      <c r="A160" s="24">
        <v>9028</v>
      </c>
      <c r="B160" s="3" t="s">
        <v>146</v>
      </c>
      <c r="C160" s="38">
        <f t="shared" si="30"/>
        <v>-135426</v>
      </c>
      <c r="D160" s="38">
        <f t="shared" si="31"/>
        <v>-86162</v>
      </c>
      <c r="E160" s="38">
        <f t="shared" si="32"/>
        <v>-29721</v>
      </c>
      <c r="F160" s="38">
        <f t="shared" si="33"/>
        <v>-6611</v>
      </c>
      <c r="G160" s="38">
        <f t="shared" si="34"/>
        <v>1110</v>
      </c>
      <c r="I160" s="41"/>
      <c r="K160" s="40">
        <f>ROUND(VLOOKUP($A160,'Contribution Allocation_Report'!$A$9:$D$314,4,FALSE)*$K$321,0)</f>
        <v>-107701</v>
      </c>
      <c r="L160" s="40">
        <f>ROUND(VLOOKUP($A160,'Contribution Allocation_Report'!$A$9:$D$314,4,FALSE)*$L$321,0)</f>
        <v>-72613</v>
      </c>
      <c r="M160" s="40">
        <f>ROUND(VLOOKUP($A160,'Contribution Allocation_Report'!$A$9:$D$314,4,FALSE)*$M$321,0)</f>
        <v>-23291</v>
      </c>
      <c r="N160" s="40">
        <f>ROUND(VLOOKUP($A160,'Contribution Allocation_Report'!$A$9:$D$314,4,FALSE)*$N$321,0)</f>
        <v>959</v>
      </c>
      <c r="O160" s="40">
        <f>ROUND(VLOOKUP($A160,'Contribution Allocation_Report'!$A$9:$D$314,4,FALSE)*$O$321,0)</f>
        <v>-2588</v>
      </c>
      <c r="Q160" s="40">
        <f>+VLOOKUP(A160,'Change in Proportion Layers'!$AK$8:$AP$318,2,FALSE)+K160</f>
        <v>-135426</v>
      </c>
      <c r="R160" s="40">
        <f>+VLOOKUP(A160,'Change in Proportion Layers'!$AK$8:$AP$318,3,FALSE)+L160</f>
        <v>-86162</v>
      </c>
      <c r="S160" s="40">
        <f>+VLOOKUP(A160,'Change in Proportion Layers'!$AK$8:$AP$318,4,FALSE)+M160</f>
        <v>-29721</v>
      </c>
      <c r="T160" s="40">
        <f>+VLOOKUP(A160,'Change in Proportion Layers'!$AK$8:$AP$318,5,FALSE)+N160</f>
        <v>-6611</v>
      </c>
      <c r="U160" s="40">
        <f>+VLOOKUP(A160,'Change in Proportion Layers'!$AK$8:$AP$318,6,FALSE)+O160+1</f>
        <v>1110</v>
      </c>
      <c r="W160" s="40">
        <f>('OPEB Amounts_Report'!G160-'OPEB Amounts_Report'!M160)</f>
        <v>-256810</v>
      </c>
      <c r="X160" s="109">
        <f t="shared" si="29"/>
        <v>0</v>
      </c>
    </row>
    <row r="161" spans="1:24">
      <c r="A161" s="22">
        <v>17424</v>
      </c>
      <c r="B161" s="23" t="s">
        <v>147</v>
      </c>
      <c r="C161" s="37">
        <f t="shared" si="30"/>
        <v>-193992</v>
      </c>
      <c r="D161" s="37">
        <f t="shared" si="31"/>
        <v>-130730</v>
      </c>
      <c r="E161" s="37">
        <f t="shared" si="32"/>
        <v>-28908</v>
      </c>
      <c r="F161" s="37">
        <f t="shared" si="33"/>
        <v>-6303</v>
      </c>
      <c r="G161" s="37">
        <f t="shared" si="34"/>
        <v>-6622</v>
      </c>
      <c r="I161" s="41"/>
      <c r="K161" s="40">
        <f>ROUND(VLOOKUP($A161,'Contribution Allocation_Report'!$A$9:$D$314,4,FALSE)*$K$321,0)</f>
        <v>-219988</v>
      </c>
      <c r="L161" s="40">
        <f>ROUND(VLOOKUP($A161,'Contribution Allocation_Report'!$A$9:$D$314,4,FALSE)*$L$321,0)</f>
        <v>-148317</v>
      </c>
      <c r="M161" s="40">
        <f>ROUND(VLOOKUP($A161,'Contribution Allocation_Report'!$A$9:$D$314,4,FALSE)*$M$321,0)</f>
        <v>-47573</v>
      </c>
      <c r="N161" s="40">
        <f>ROUND(VLOOKUP($A161,'Contribution Allocation_Report'!$A$9:$D$314,4,FALSE)*$N$321,0)</f>
        <v>1958</v>
      </c>
      <c r="O161" s="40">
        <f>ROUND(VLOOKUP($A161,'Contribution Allocation_Report'!$A$9:$D$314,4,FALSE)*$O$321,0)</f>
        <v>-5286</v>
      </c>
      <c r="Q161" s="40">
        <f>+VLOOKUP(A161,'Change in Proportion Layers'!$AK$8:$AP$318,2,FALSE)+K161</f>
        <v>-193992</v>
      </c>
      <c r="R161" s="40">
        <f>+VLOOKUP(A161,'Change in Proportion Layers'!$AK$8:$AP$318,3,FALSE)+L161</f>
        <v>-130730</v>
      </c>
      <c r="S161" s="40">
        <f>+VLOOKUP(A161,'Change in Proportion Layers'!$AK$8:$AP$318,4,FALSE)+M161</f>
        <v>-28908</v>
      </c>
      <c r="T161" s="40">
        <f>+VLOOKUP(A161,'Change in Proportion Layers'!$AK$8:$AP$318,5,FALSE)+N161</f>
        <v>-6303</v>
      </c>
      <c r="U161" s="40">
        <f>+VLOOKUP(A161,'Change in Proportion Layers'!$AK$8:$AP$318,6,FALSE)+O161</f>
        <v>-6622</v>
      </c>
      <c r="W161" s="40">
        <f>('OPEB Amounts_Report'!G161-'OPEB Amounts_Report'!M161)</f>
        <v>-366555</v>
      </c>
      <c r="X161" s="109">
        <f t="shared" si="29"/>
        <v>0</v>
      </c>
    </row>
    <row r="162" spans="1:24">
      <c r="A162" s="24">
        <v>3200</v>
      </c>
      <c r="B162" s="3" t="s">
        <v>148</v>
      </c>
      <c r="C162" s="38">
        <f t="shared" si="30"/>
        <v>-910467</v>
      </c>
      <c r="D162" s="38">
        <f t="shared" si="31"/>
        <v>-642820</v>
      </c>
      <c r="E162" s="38">
        <f t="shared" si="32"/>
        <v>-259099</v>
      </c>
      <c r="F162" s="38">
        <f t="shared" si="33"/>
        <v>-3654</v>
      </c>
      <c r="G162" s="38">
        <f t="shared" si="34"/>
        <v>18143</v>
      </c>
      <c r="I162" s="41"/>
      <c r="K162" s="40">
        <f>ROUND(VLOOKUP($A162,'Contribution Allocation_Report'!$A$9:$D$314,4,FALSE)*$K$321,0)</f>
        <v>-765094</v>
      </c>
      <c r="L162" s="40">
        <f>ROUND(VLOOKUP($A162,'Contribution Allocation_Report'!$A$9:$D$314,4,FALSE)*$L$321,0)</f>
        <v>-515830</v>
      </c>
      <c r="M162" s="40">
        <f>ROUND(VLOOKUP($A162,'Contribution Allocation_Report'!$A$9:$D$314,4,FALSE)*$M$321,0)</f>
        <v>-165453</v>
      </c>
      <c r="N162" s="40">
        <f>ROUND(VLOOKUP($A162,'Contribution Allocation_Report'!$A$9:$D$314,4,FALSE)*$N$321,0)</f>
        <v>6811</v>
      </c>
      <c r="O162" s="40">
        <f>ROUND(VLOOKUP($A162,'Contribution Allocation_Report'!$A$9:$D$314,4,FALSE)*$O$321,0)</f>
        <v>-18383</v>
      </c>
      <c r="Q162" s="40">
        <f>+VLOOKUP(A162,'Change in Proportion Layers'!$AK$8:$AP$318,2,FALSE)+K162</f>
        <v>-910467</v>
      </c>
      <c r="R162" s="40">
        <f>+VLOOKUP(A162,'Change in Proportion Layers'!$AK$8:$AP$318,3,FALSE)+L162</f>
        <v>-642820</v>
      </c>
      <c r="S162" s="40">
        <f>+VLOOKUP(A162,'Change in Proportion Layers'!$AK$8:$AP$318,4,FALSE)+M162</f>
        <v>-259099</v>
      </c>
      <c r="T162" s="40">
        <f>+VLOOKUP(A162,'Change in Proportion Layers'!$AK$8:$AP$318,5,FALSE)+N162</f>
        <v>-3654</v>
      </c>
      <c r="U162" s="40">
        <f>+VLOOKUP(A162,'Change in Proportion Layers'!$AK$8:$AP$318,6,FALSE)+O162</f>
        <v>18143</v>
      </c>
      <c r="W162" s="40">
        <f>('OPEB Amounts_Report'!G162-'OPEB Amounts_Report'!M162)</f>
        <v>-1797897</v>
      </c>
      <c r="X162" s="109">
        <f t="shared" si="29"/>
        <v>0</v>
      </c>
    </row>
    <row r="163" spans="1:24">
      <c r="A163" s="22">
        <v>2365</v>
      </c>
      <c r="B163" s="23" t="s">
        <v>149</v>
      </c>
      <c r="C163" s="37">
        <f t="shared" si="30"/>
        <v>-192691</v>
      </c>
      <c r="D163" s="37">
        <f t="shared" si="31"/>
        <v>-141012</v>
      </c>
      <c r="E163" s="37">
        <f t="shared" si="32"/>
        <v>-74730</v>
      </c>
      <c r="F163" s="37">
        <f t="shared" si="33"/>
        <v>-22118</v>
      </c>
      <c r="G163" s="37">
        <f t="shared" si="34"/>
        <v>-13398</v>
      </c>
      <c r="I163" s="41"/>
      <c r="K163" s="40">
        <f>ROUND(VLOOKUP($A163,'Contribution Allocation_Report'!$A$9:$D$314,4,FALSE)*$K$321,0)</f>
        <v>-73185</v>
      </c>
      <c r="L163" s="40">
        <f>ROUND(VLOOKUP($A163,'Contribution Allocation_Report'!$A$9:$D$314,4,FALSE)*$L$321,0)</f>
        <v>-49342</v>
      </c>
      <c r="M163" s="40">
        <f>ROUND(VLOOKUP($A163,'Contribution Allocation_Report'!$A$9:$D$314,4,FALSE)*$M$321,0)</f>
        <v>-15826</v>
      </c>
      <c r="N163" s="40">
        <f>ROUND(VLOOKUP($A163,'Contribution Allocation_Report'!$A$9:$D$314,4,FALSE)*$N$321,0)</f>
        <v>652</v>
      </c>
      <c r="O163" s="40">
        <f>ROUND(VLOOKUP($A163,'Contribution Allocation_Report'!$A$9:$D$314,4,FALSE)*$O$321,0)</f>
        <v>-1758</v>
      </c>
      <c r="Q163" s="40">
        <f>+VLOOKUP(A163,'Change in Proportion Layers'!$AK$8:$AP$318,2,FALSE)+K163</f>
        <v>-192691</v>
      </c>
      <c r="R163" s="40">
        <f>+VLOOKUP(A163,'Change in Proportion Layers'!$AK$8:$AP$318,3,FALSE)+L163</f>
        <v>-141012</v>
      </c>
      <c r="S163" s="40">
        <f>+VLOOKUP(A163,'Change in Proportion Layers'!$AK$8:$AP$318,4,FALSE)+M163</f>
        <v>-74730</v>
      </c>
      <c r="T163" s="40">
        <f>+VLOOKUP(A163,'Change in Proportion Layers'!$AK$8:$AP$318,5,FALSE)+N163</f>
        <v>-22118</v>
      </c>
      <c r="U163" s="40">
        <f>+VLOOKUP(A163,'Change in Proportion Layers'!$AK$8:$AP$318,6,FALSE)+O163-1</f>
        <v>-13398</v>
      </c>
      <c r="W163" s="40">
        <f>('OPEB Amounts_Report'!G163-'OPEB Amounts_Report'!M163)</f>
        <v>-443949</v>
      </c>
      <c r="X163" s="109">
        <f t="shared" si="29"/>
        <v>0</v>
      </c>
    </row>
    <row r="164" spans="1:24">
      <c r="A164" s="24">
        <v>5014</v>
      </c>
      <c r="B164" s="3" t="s">
        <v>150</v>
      </c>
      <c r="C164" s="38">
        <f t="shared" si="30"/>
        <v>-166559</v>
      </c>
      <c r="D164" s="38">
        <f t="shared" si="31"/>
        <v>-109575</v>
      </c>
      <c r="E164" s="38">
        <f t="shared" si="32"/>
        <v>-44599</v>
      </c>
      <c r="F164" s="38">
        <f t="shared" si="33"/>
        <v>-4623</v>
      </c>
      <c r="G164" s="38">
        <f t="shared" si="34"/>
        <v>-2351</v>
      </c>
      <c r="I164" s="41"/>
      <c r="K164" s="40">
        <f>ROUND(VLOOKUP($A164,'Contribution Allocation_Report'!$A$9:$D$314,4,FALSE)*$K$321,0)</f>
        <v>-157936</v>
      </c>
      <c r="L164" s="40">
        <f>ROUND(VLOOKUP($A164,'Contribution Allocation_Report'!$A$9:$D$314,4,FALSE)*$L$321,0)</f>
        <v>-106481</v>
      </c>
      <c r="M164" s="40">
        <f>ROUND(VLOOKUP($A164,'Contribution Allocation_Report'!$A$9:$D$314,4,FALSE)*$M$321,0)</f>
        <v>-34154</v>
      </c>
      <c r="N164" s="40">
        <f>ROUND(VLOOKUP($A164,'Contribution Allocation_Report'!$A$9:$D$314,4,FALSE)*$N$321,0)</f>
        <v>1406</v>
      </c>
      <c r="O164" s="40">
        <f>ROUND(VLOOKUP($A164,'Contribution Allocation_Report'!$A$9:$D$314,4,FALSE)*$O$321,0)</f>
        <v>-3795</v>
      </c>
      <c r="Q164" s="40">
        <f>+VLOOKUP(A164,'Change in Proportion Layers'!$AK$8:$AP$318,2,FALSE)+K164</f>
        <v>-166559</v>
      </c>
      <c r="R164" s="40">
        <f>+VLOOKUP(A164,'Change in Proportion Layers'!$AK$8:$AP$318,3,FALSE)+L164</f>
        <v>-109575</v>
      </c>
      <c r="S164" s="40">
        <f>+VLOOKUP(A164,'Change in Proportion Layers'!$AK$8:$AP$318,4,FALSE)+M164</f>
        <v>-44599</v>
      </c>
      <c r="T164" s="40">
        <f>+VLOOKUP(A164,'Change in Proportion Layers'!$AK$8:$AP$318,5,FALSE)+N164</f>
        <v>-4623</v>
      </c>
      <c r="U164" s="40">
        <f>+VLOOKUP(A164,'Change in Proportion Layers'!$AK$8:$AP$318,6,FALSE)+O164+1</f>
        <v>-2351</v>
      </c>
      <c r="W164" s="40">
        <f>('OPEB Amounts_Report'!G164-'OPEB Amounts_Report'!M164)</f>
        <v>-327707</v>
      </c>
      <c r="X164" s="109">
        <f t="shared" si="29"/>
        <v>0</v>
      </c>
    </row>
    <row r="165" spans="1:24">
      <c r="A165" s="22">
        <v>17127</v>
      </c>
      <c r="B165" s="23" t="s">
        <v>151</v>
      </c>
      <c r="C165" s="37">
        <f t="shared" si="30"/>
        <v>-201314</v>
      </c>
      <c r="D165" s="37">
        <f t="shared" si="31"/>
        <v>-113521</v>
      </c>
      <c r="E165" s="37">
        <f t="shared" si="32"/>
        <v>-45326</v>
      </c>
      <c r="F165" s="37">
        <f t="shared" si="33"/>
        <v>-25604</v>
      </c>
      <c r="G165" s="37">
        <f t="shared" si="34"/>
        <v>-15762</v>
      </c>
      <c r="I165" s="41"/>
      <c r="K165" s="40">
        <f>ROUND(VLOOKUP($A165,'Contribution Allocation_Report'!$A$9:$D$314,4,FALSE)*$K$321,0)</f>
        <v>-163557</v>
      </c>
      <c r="L165" s="40">
        <f>ROUND(VLOOKUP($A165,'Contribution Allocation_Report'!$A$9:$D$314,4,FALSE)*$L$321,0)</f>
        <v>-110271</v>
      </c>
      <c r="M165" s="40">
        <f>ROUND(VLOOKUP($A165,'Contribution Allocation_Report'!$A$9:$D$314,4,FALSE)*$M$321,0)</f>
        <v>-35369</v>
      </c>
      <c r="N165" s="40">
        <f>ROUND(VLOOKUP($A165,'Contribution Allocation_Report'!$A$9:$D$314,4,FALSE)*$N$321,0)</f>
        <v>1456</v>
      </c>
      <c r="O165" s="40">
        <f>ROUND(VLOOKUP($A165,'Contribution Allocation_Report'!$A$9:$D$314,4,FALSE)*$O$321,0)</f>
        <v>-3930</v>
      </c>
      <c r="Q165" s="40">
        <f>+VLOOKUP(A165,'Change in Proportion Layers'!$AK$8:$AP$318,2,FALSE)+K165</f>
        <v>-201314</v>
      </c>
      <c r="R165" s="40">
        <f>+VLOOKUP(A165,'Change in Proportion Layers'!$AK$8:$AP$318,3,FALSE)+L165</f>
        <v>-113521</v>
      </c>
      <c r="S165" s="40">
        <f>+VLOOKUP(A165,'Change in Proportion Layers'!$AK$8:$AP$318,4,FALSE)+M165</f>
        <v>-45326</v>
      </c>
      <c r="T165" s="40">
        <f>+VLOOKUP(A165,'Change in Proportion Layers'!$AK$8:$AP$318,5,FALSE)+N165</f>
        <v>-25604</v>
      </c>
      <c r="U165" s="40">
        <f>+VLOOKUP(A165,'Change in Proportion Layers'!$AK$8:$AP$318,6,FALSE)+O165</f>
        <v>-15762</v>
      </c>
      <c r="W165" s="40">
        <f>('OPEB Amounts_Report'!G165-'OPEB Amounts_Report'!M165)</f>
        <v>-401527</v>
      </c>
      <c r="X165" s="109">
        <f t="shared" si="29"/>
        <v>0</v>
      </c>
    </row>
    <row r="166" spans="1:24">
      <c r="A166" s="24">
        <v>10141</v>
      </c>
      <c r="B166" s="3" t="s">
        <v>152</v>
      </c>
      <c r="C166" s="38">
        <f t="shared" si="30"/>
        <v>-233559</v>
      </c>
      <c r="D166" s="38">
        <f t="shared" si="31"/>
        <v>-146574</v>
      </c>
      <c r="E166" s="38">
        <f t="shared" si="32"/>
        <v>-168805</v>
      </c>
      <c r="F166" s="38">
        <f t="shared" si="33"/>
        <v>-203781</v>
      </c>
      <c r="G166" s="38">
        <f t="shared" si="34"/>
        <v>-4266</v>
      </c>
      <c r="I166" s="41"/>
      <c r="K166" s="40">
        <f>ROUND(VLOOKUP($A166,'Contribution Allocation_Report'!$A$9:$D$314,4,FALSE)*$K$321,0)</f>
        <v>-228736</v>
      </c>
      <c r="L166" s="40">
        <f>ROUND(VLOOKUP($A166,'Contribution Allocation_Report'!$A$9:$D$314,4,FALSE)*$L$321,0)</f>
        <v>-154215</v>
      </c>
      <c r="M166" s="40">
        <f>ROUND(VLOOKUP($A166,'Contribution Allocation_Report'!$A$9:$D$314,4,FALSE)*$M$321,0)</f>
        <v>-49464</v>
      </c>
      <c r="N166" s="40">
        <f>ROUND(VLOOKUP($A166,'Contribution Allocation_Report'!$A$9:$D$314,4,FALSE)*$N$321,0)</f>
        <v>2036</v>
      </c>
      <c r="O166" s="40">
        <f>ROUND(VLOOKUP($A166,'Contribution Allocation_Report'!$A$9:$D$314,4,FALSE)*$O$321,0)</f>
        <v>-5496</v>
      </c>
      <c r="Q166" s="40">
        <f>+VLOOKUP(A166,'Change in Proportion Layers'!$AK$8:$AP$318,2,FALSE)+K166</f>
        <v>-233559</v>
      </c>
      <c r="R166" s="40">
        <f>+VLOOKUP(A166,'Change in Proportion Layers'!$AK$8:$AP$318,3,FALSE)+L166</f>
        <v>-146574</v>
      </c>
      <c r="S166" s="40">
        <f>+VLOOKUP(A166,'Change in Proportion Layers'!$AK$8:$AP$318,4,FALSE)+M166</f>
        <v>-168805</v>
      </c>
      <c r="T166" s="40">
        <f>+VLOOKUP(A166,'Change in Proportion Layers'!$AK$8:$AP$318,5,FALSE)+N166</f>
        <v>-203781</v>
      </c>
      <c r="U166" s="40">
        <f>+VLOOKUP(A166,'Change in Proportion Layers'!$AK$8:$AP$318,6,FALSE)+O166</f>
        <v>-4266</v>
      </c>
      <c r="W166" s="40">
        <f>('OPEB Amounts_Report'!G166-'OPEB Amounts_Report'!M166)</f>
        <v>-756985</v>
      </c>
      <c r="X166" s="109">
        <f t="shared" si="29"/>
        <v>0</v>
      </c>
    </row>
    <row r="167" spans="1:24">
      <c r="A167" s="22">
        <v>4570</v>
      </c>
      <c r="B167" s="23" t="s">
        <v>395</v>
      </c>
      <c r="C167" s="37">
        <f t="shared" si="30"/>
        <v>-527060</v>
      </c>
      <c r="D167" s="37">
        <f t="shared" si="31"/>
        <v>-385011</v>
      </c>
      <c r="E167" s="37">
        <f t="shared" si="32"/>
        <v>-140219</v>
      </c>
      <c r="F167" s="37">
        <f t="shared" si="33"/>
        <v>40241</v>
      </c>
      <c r="G167" s="37">
        <f t="shared" si="34"/>
        <v>-7645</v>
      </c>
      <c r="I167" s="41"/>
      <c r="K167" s="40">
        <f>ROUND(VLOOKUP($A167,'Contribution Allocation_Report'!$A$9:$D$314,4,FALSE)*$K$321,0)</f>
        <v>-625722</v>
      </c>
      <c r="L167" s="40">
        <f>ROUND(VLOOKUP($A167,'Contribution Allocation_Report'!$A$9:$D$314,4,FALSE)*$L$321,0)</f>
        <v>-421865</v>
      </c>
      <c r="M167" s="40">
        <f>ROUND(VLOOKUP($A167,'Contribution Allocation_Report'!$A$9:$D$314,4,FALSE)*$M$321,0)</f>
        <v>-135313</v>
      </c>
      <c r="N167" s="40">
        <f>ROUND(VLOOKUP($A167,'Contribution Allocation_Report'!$A$9:$D$314,4,FALSE)*$N$321,0)</f>
        <v>5570</v>
      </c>
      <c r="O167" s="40">
        <f>ROUND(VLOOKUP($A167,'Contribution Allocation_Report'!$A$9:$D$314,4,FALSE)*$O$321,0)</f>
        <v>-15034</v>
      </c>
      <c r="Q167" s="40">
        <f>+VLOOKUP(A167,'Change in Proportion Layers'!$AK$8:$AP$318,2,FALSE)+K167</f>
        <v>-527060</v>
      </c>
      <c r="R167" s="40">
        <f>+VLOOKUP(A167,'Change in Proportion Layers'!$AK$8:$AP$318,3,FALSE)+L167</f>
        <v>-385011</v>
      </c>
      <c r="S167" s="40">
        <f>+VLOOKUP(A167,'Change in Proportion Layers'!$AK$8:$AP$318,4,FALSE)+M167</f>
        <v>-140219</v>
      </c>
      <c r="T167" s="40">
        <f>+VLOOKUP(A167,'Change in Proportion Layers'!$AK$8:$AP$318,5,FALSE)+N167</f>
        <v>40241</v>
      </c>
      <c r="U167" s="40">
        <f>+VLOOKUP(A167,'Change in Proportion Layers'!$AK$8:$AP$318,6,FALSE)+O167+1</f>
        <v>-7645</v>
      </c>
      <c r="W167" s="40">
        <f>('OPEB Amounts_Report'!G167-'OPEB Amounts_Report'!M167)</f>
        <v>-1019694</v>
      </c>
      <c r="X167" s="109">
        <f t="shared" si="29"/>
        <v>0</v>
      </c>
    </row>
    <row r="168" spans="1:24">
      <c r="A168" s="24">
        <v>13369</v>
      </c>
      <c r="B168" s="3" t="s">
        <v>153</v>
      </c>
      <c r="C168" s="38">
        <f t="shared" si="30"/>
        <v>-64852</v>
      </c>
      <c r="D168" s="38">
        <f t="shared" si="31"/>
        <v>-34055</v>
      </c>
      <c r="E168" s="38">
        <f t="shared" si="32"/>
        <v>-15970</v>
      </c>
      <c r="F168" s="38">
        <f t="shared" si="33"/>
        <v>-2953</v>
      </c>
      <c r="G168" s="38">
        <f t="shared" si="34"/>
        <v>-3381</v>
      </c>
      <c r="I168" s="41"/>
      <c r="K168" s="40">
        <f>ROUND(VLOOKUP($A168,'Contribution Allocation_Report'!$A$9:$D$314,4,FALSE)*$K$321,0)</f>
        <v>-55420</v>
      </c>
      <c r="L168" s="40">
        <f>ROUND(VLOOKUP($A168,'Contribution Allocation_Report'!$A$9:$D$314,4,FALSE)*$L$321,0)</f>
        <v>-37365</v>
      </c>
      <c r="M168" s="40">
        <f>ROUND(VLOOKUP($A168,'Contribution Allocation_Report'!$A$9:$D$314,4,FALSE)*$M$321,0)</f>
        <v>-11985</v>
      </c>
      <c r="N168" s="40">
        <f>ROUND(VLOOKUP($A168,'Contribution Allocation_Report'!$A$9:$D$314,4,FALSE)*$N$321,0)</f>
        <v>493</v>
      </c>
      <c r="O168" s="40">
        <f>ROUND(VLOOKUP($A168,'Contribution Allocation_Report'!$A$9:$D$314,4,FALSE)*$O$321,0)</f>
        <v>-1332</v>
      </c>
      <c r="Q168" s="40">
        <f>+VLOOKUP(A168,'Change in Proportion Layers'!$AK$8:$AP$318,2,FALSE)+K168</f>
        <v>-64852</v>
      </c>
      <c r="R168" s="40">
        <f>+VLOOKUP(A168,'Change in Proportion Layers'!$AK$8:$AP$318,3,FALSE)+L168</f>
        <v>-34055</v>
      </c>
      <c r="S168" s="40">
        <f>+VLOOKUP(A168,'Change in Proportion Layers'!$AK$8:$AP$318,4,FALSE)+M168</f>
        <v>-15970</v>
      </c>
      <c r="T168" s="40">
        <f>+VLOOKUP(A168,'Change in Proportion Layers'!$AK$8:$AP$318,5,FALSE)+N168</f>
        <v>-2953</v>
      </c>
      <c r="U168" s="40">
        <f>+VLOOKUP(A168,'Change in Proportion Layers'!$AK$8:$AP$318,6,FALSE)+O168+1</f>
        <v>-3381</v>
      </c>
      <c r="W168" s="40">
        <f>('OPEB Amounts_Report'!G168-'OPEB Amounts_Report'!M168)</f>
        <v>-121211</v>
      </c>
      <c r="X168" s="109">
        <f t="shared" si="29"/>
        <v>0</v>
      </c>
    </row>
    <row r="169" spans="1:24">
      <c r="A169" s="22">
        <v>2425</v>
      </c>
      <c r="B169" s="23" t="s">
        <v>154</v>
      </c>
      <c r="C169" s="37">
        <f t="shared" si="30"/>
        <v>-138883</v>
      </c>
      <c r="D169" s="37">
        <f t="shared" si="31"/>
        <v>-130981</v>
      </c>
      <c r="E169" s="37">
        <f t="shared" si="32"/>
        <v>-234839</v>
      </c>
      <c r="F169" s="37">
        <f t="shared" si="33"/>
        <v>-284102</v>
      </c>
      <c r="G169" s="37">
        <f t="shared" si="34"/>
        <v>-46130</v>
      </c>
      <c r="I169" s="41"/>
      <c r="K169" s="40">
        <f>ROUND(VLOOKUP($A169,'Contribution Allocation_Report'!$A$9:$D$314,4,FALSE)*$K$321,0)</f>
        <v>-1002956</v>
      </c>
      <c r="L169" s="40">
        <f>ROUND(VLOOKUP($A169,'Contribution Allocation_Report'!$A$9:$D$314,4,FALSE)*$L$321,0)</f>
        <v>-676198</v>
      </c>
      <c r="M169" s="40">
        <f>ROUND(VLOOKUP($A169,'Contribution Allocation_Report'!$A$9:$D$314,4,FALSE)*$M$321,0)</f>
        <v>-216891</v>
      </c>
      <c r="N169" s="40">
        <f>ROUND(VLOOKUP($A169,'Contribution Allocation_Report'!$A$9:$D$314,4,FALSE)*$N$321,0)</f>
        <v>8928</v>
      </c>
      <c r="O169" s="40">
        <f>ROUND(VLOOKUP($A169,'Contribution Allocation_Report'!$A$9:$D$314,4,FALSE)*$O$321,0)</f>
        <v>-24098</v>
      </c>
      <c r="Q169" s="40">
        <f>+VLOOKUP(A169,'Change in Proportion Layers'!$AK$8:$AP$318,2,FALSE)+K169</f>
        <v>-138883</v>
      </c>
      <c r="R169" s="40">
        <f>+VLOOKUP(A169,'Change in Proportion Layers'!$AK$8:$AP$318,3,FALSE)+L169</f>
        <v>-130981</v>
      </c>
      <c r="S169" s="40">
        <f>+VLOOKUP(A169,'Change in Proportion Layers'!$AK$8:$AP$318,4,FALSE)+M169</f>
        <v>-234839</v>
      </c>
      <c r="T169" s="40">
        <f>+VLOOKUP(A169,'Change in Proportion Layers'!$AK$8:$AP$318,5,FALSE)+N169</f>
        <v>-284102</v>
      </c>
      <c r="U169" s="40">
        <f>+VLOOKUP(A169,'Change in Proportion Layers'!$AK$8:$AP$318,6,FALSE)+O169+2</f>
        <v>-46130</v>
      </c>
      <c r="W169" s="40">
        <f>('OPEB Amounts_Report'!G169-'OPEB Amounts_Report'!M169)</f>
        <v>-834935</v>
      </c>
      <c r="X169" s="109">
        <f t="shared" si="29"/>
        <v>0</v>
      </c>
    </row>
    <row r="170" spans="1:24">
      <c r="A170" s="24">
        <v>1306</v>
      </c>
      <c r="B170" s="3" t="s">
        <v>155</v>
      </c>
      <c r="C170" s="38">
        <f t="shared" si="30"/>
        <v>-176194</v>
      </c>
      <c r="D170" s="38">
        <f t="shared" si="31"/>
        <v>-132593</v>
      </c>
      <c r="E170" s="38">
        <f t="shared" si="32"/>
        <v>-65593</v>
      </c>
      <c r="F170" s="38">
        <f t="shared" si="33"/>
        <v>15548</v>
      </c>
      <c r="G170" s="38">
        <f t="shared" si="34"/>
        <v>15444</v>
      </c>
      <c r="I170" s="41"/>
      <c r="K170" s="40">
        <f>ROUND(VLOOKUP($A170,'Contribution Allocation_Report'!$A$9:$D$314,4,FALSE)*$K$321,0)</f>
        <v>-196479</v>
      </c>
      <c r="L170" s="40">
        <f>ROUND(VLOOKUP($A170,'Contribution Allocation_Report'!$A$9:$D$314,4,FALSE)*$L$321,0)</f>
        <v>-132467</v>
      </c>
      <c r="M170" s="40">
        <f>ROUND(VLOOKUP($A170,'Contribution Allocation_Report'!$A$9:$D$314,4,FALSE)*$M$321,0)</f>
        <v>-42489</v>
      </c>
      <c r="N170" s="40">
        <f>ROUND(VLOOKUP($A170,'Contribution Allocation_Report'!$A$9:$D$314,4,FALSE)*$N$321,0)</f>
        <v>1749</v>
      </c>
      <c r="O170" s="40">
        <f>ROUND(VLOOKUP($A170,'Contribution Allocation_Report'!$A$9:$D$314,4,FALSE)*$O$321,0)</f>
        <v>-4721</v>
      </c>
      <c r="Q170" s="40">
        <f>+VLOOKUP(A170,'Change in Proportion Layers'!$AK$8:$AP$318,2,FALSE)+K170</f>
        <v>-176194</v>
      </c>
      <c r="R170" s="40">
        <f>+VLOOKUP(A170,'Change in Proportion Layers'!$AK$8:$AP$318,3,FALSE)+L170</f>
        <v>-132593</v>
      </c>
      <c r="S170" s="40">
        <f>+VLOOKUP(A170,'Change in Proportion Layers'!$AK$8:$AP$318,4,FALSE)+M170</f>
        <v>-65593</v>
      </c>
      <c r="T170" s="40">
        <f>+VLOOKUP(A170,'Change in Proportion Layers'!$AK$8:$AP$318,5,FALSE)+N170</f>
        <v>15548</v>
      </c>
      <c r="U170" s="40">
        <f>+VLOOKUP(A170,'Change in Proportion Layers'!$AK$8:$AP$318,6,FALSE)+O170+1</f>
        <v>15444</v>
      </c>
      <c r="W170" s="40">
        <f>('OPEB Amounts_Report'!G170-'OPEB Amounts_Report'!M170)</f>
        <v>-343388</v>
      </c>
      <c r="X170" s="109">
        <f t="shared" si="29"/>
        <v>0</v>
      </c>
    </row>
    <row r="171" spans="1:24">
      <c r="A171" s="22">
        <v>2351</v>
      </c>
      <c r="B171" s="23" t="s">
        <v>156</v>
      </c>
      <c r="C171" s="37">
        <f t="shared" si="30"/>
        <v>-127693</v>
      </c>
      <c r="D171" s="37">
        <f t="shared" si="31"/>
        <v>-63447</v>
      </c>
      <c r="E171" s="37">
        <f t="shared" si="32"/>
        <v>-12275</v>
      </c>
      <c r="F171" s="37">
        <f t="shared" si="33"/>
        <v>-4055</v>
      </c>
      <c r="G171" s="37">
        <f t="shared" si="34"/>
        <v>-2041</v>
      </c>
      <c r="I171" s="41"/>
      <c r="K171" s="40">
        <f>ROUND(VLOOKUP($A171,'Contribution Allocation_Report'!$A$9:$D$314,4,FALSE)*$K$321,0)</f>
        <v>-194109</v>
      </c>
      <c r="L171" s="40">
        <f>ROUND(VLOOKUP($A171,'Contribution Allocation_Report'!$A$9:$D$314,4,FALSE)*$L$321,0)</f>
        <v>-130869</v>
      </c>
      <c r="M171" s="40">
        <f>ROUND(VLOOKUP($A171,'Contribution Allocation_Report'!$A$9:$D$314,4,FALSE)*$M$321,0)</f>
        <v>-41976</v>
      </c>
      <c r="N171" s="40">
        <f>ROUND(VLOOKUP($A171,'Contribution Allocation_Report'!$A$9:$D$314,4,FALSE)*$N$321,0)</f>
        <v>1728</v>
      </c>
      <c r="O171" s="40">
        <f>ROUND(VLOOKUP($A171,'Contribution Allocation_Report'!$A$9:$D$314,4,FALSE)*$O$321,0)</f>
        <v>-4664</v>
      </c>
      <c r="Q171" s="40">
        <f>+VLOOKUP(A171,'Change in Proportion Layers'!$AK$8:$AP$318,2,FALSE)+K171</f>
        <v>-127693</v>
      </c>
      <c r="R171" s="40">
        <f>+VLOOKUP(A171,'Change in Proportion Layers'!$AK$8:$AP$318,3,FALSE)+L171</f>
        <v>-63447</v>
      </c>
      <c r="S171" s="40">
        <f>+VLOOKUP(A171,'Change in Proportion Layers'!$AK$8:$AP$318,4,FALSE)+M171</f>
        <v>-12275</v>
      </c>
      <c r="T171" s="40">
        <f>+VLOOKUP(A171,'Change in Proportion Layers'!$AK$8:$AP$318,5,FALSE)+N171</f>
        <v>-4055</v>
      </c>
      <c r="U171" s="40">
        <f>+VLOOKUP(A171,'Change in Proportion Layers'!$AK$8:$AP$318,6,FALSE)+O171+1</f>
        <v>-2041</v>
      </c>
      <c r="W171" s="40">
        <f>('OPEB Amounts_Report'!G171-'OPEB Amounts_Report'!M171)</f>
        <v>-209511</v>
      </c>
      <c r="X171" s="109">
        <f t="shared" si="29"/>
        <v>0</v>
      </c>
    </row>
    <row r="172" spans="1:24">
      <c r="A172" s="24">
        <v>2334</v>
      </c>
      <c r="B172" s="3" t="s">
        <v>157</v>
      </c>
      <c r="C172" s="38">
        <f t="shared" si="30"/>
        <v>-100787</v>
      </c>
      <c r="D172" s="38">
        <f t="shared" si="31"/>
        <v>-53546</v>
      </c>
      <c r="E172" s="38">
        <f t="shared" si="32"/>
        <v>-22147</v>
      </c>
      <c r="F172" s="38">
        <f t="shared" si="33"/>
        <v>-8479</v>
      </c>
      <c r="G172" s="38">
        <f t="shared" si="34"/>
        <v>-8077</v>
      </c>
      <c r="I172" s="41"/>
      <c r="K172" s="40">
        <f>ROUND(VLOOKUP($A172,'Contribution Allocation_Report'!$A$9:$D$314,4,FALSE)*$K$321,0)</f>
        <v>-127876</v>
      </c>
      <c r="L172" s="40">
        <f>ROUND(VLOOKUP($A172,'Contribution Allocation_Report'!$A$9:$D$314,4,FALSE)*$L$321,0)</f>
        <v>-86215</v>
      </c>
      <c r="M172" s="40">
        <f>ROUND(VLOOKUP($A172,'Contribution Allocation_Report'!$A$9:$D$314,4,FALSE)*$M$321,0)</f>
        <v>-27653</v>
      </c>
      <c r="N172" s="40">
        <f>ROUND(VLOOKUP($A172,'Contribution Allocation_Report'!$A$9:$D$314,4,FALSE)*$N$321,0)</f>
        <v>1138</v>
      </c>
      <c r="O172" s="40">
        <f>ROUND(VLOOKUP($A172,'Contribution Allocation_Report'!$A$9:$D$314,4,FALSE)*$O$321,0)</f>
        <v>-3072</v>
      </c>
      <c r="Q172" s="40">
        <f>+VLOOKUP(A172,'Change in Proportion Layers'!$AK$8:$AP$318,2,FALSE)+K172</f>
        <v>-100787</v>
      </c>
      <c r="R172" s="40">
        <f>+VLOOKUP(A172,'Change in Proportion Layers'!$AK$8:$AP$318,3,FALSE)+L172</f>
        <v>-53546</v>
      </c>
      <c r="S172" s="40">
        <f>+VLOOKUP(A172,'Change in Proportion Layers'!$AK$8:$AP$318,4,FALSE)+M172</f>
        <v>-22147</v>
      </c>
      <c r="T172" s="40">
        <f>+VLOOKUP(A172,'Change in Proportion Layers'!$AK$8:$AP$318,5,FALSE)+N172</f>
        <v>-8479</v>
      </c>
      <c r="U172" s="40">
        <f>+VLOOKUP(A172,'Change in Proportion Layers'!$AK$8:$AP$318,6,FALSE)+O172+1</f>
        <v>-8077</v>
      </c>
      <c r="W172" s="40">
        <f>('OPEB Amounts_Report'!G172-'OPEB Amounts_Report'!M172)</f>
        <v>-193036</v>
      </c>
      <c r="X172" s="109">
        <f t="shared" si="29"/>
        <v>0</v>
      </c>
    </row>
    <row r="173" spans="1:24">
      <c r="A173" s="22">
        <v>30089</v>
      </c>
      <c r="B173" s="23" t="s">
        <v>158</v>
      </c>
      <c r="C173" s="37">
        <f t="shared" si="30"/>
        <v>-339089</v>
      </c>
      <c r="D173" s="37">
        <f t="shared" si="31"/>
        <v>-229840</v>
      </c>
      <c r="E173" s="37">
        <f t="shared" si="32"/>
        <v>-141646</v>
      </c>
      <c r="F173" s="37">
        <f t="shared" si="33"/>
        <v>-99133</v>
      </c>
      <c r="G173" s="37">
        <f t="shared" si="34"/>
        <v>-40114</v>
      </c>
      <c r="I173" s="41"/>
      <c r="K173" s="40">
        <f>ROUND(VLOOKUP($A173,'Contribution Allocation_Report'!$A$9:$D$314,4,FALSE)*$K$321,0)</f>
        <v>-297900</v>
      </c>
      <c r="L173" s="40">
        <f>ROUND(VLOOKUP($A173,'Contribution Allocation_Report'!$A$9:$D$314,4,FALSE)*$L$321,0)</f>
        <v>-200846</v>
      </c>
      <c r="M173" s="40">
        <f>ROUND(VLOOKUP($A173,'Contribution Allocation_Report'!$A$9:$D$314,4,FALSE)*$M$321,0)</f>
        <v>-64421</v>
      </c>
      <c r="N173" s="40">
        <f>ROUND(VLOOKUP($A173,'Contribution Allocation_Report'!$A$9:$D$314,4,FALSE)*$N$321,0)</f>
        <v>2652</v>
      </c>
      <c r="O173" s="40">
        <f>ROUND(VLOOKUP($A173,'Contribution Allocation_Report'!$A$9:$D$314,4,FALSE)*$O$321,0)</f>
        <v>-7157</v>
      </c>
      <c r="Q173" s="40">
        <f>+VLOOKUP(A173,'Change in Proportion Layers'!$AK$8:$AP$318,2,FALSE)+K173</f>
        <v>-339089</v>
      </c>
      <c r="R173" s="40">
        <f>+VLOOKUP(A173,'Change in Proportion Layers'!$AK$8:$AP$318,3,FALSE)+L173</f>
        <v>-229840</v>
      </c>
      <c r="S173" s="40">
        <f>+VLOOKUP(A173,'Change in Proportion Layers'!$AK$8:$AP$318,4,FALSE)+M173</f>
        <v>-141646</v>
      </c>
      <c r="T173" s="40">
        <f>+VLOOKUP(A173,'Change in Proportion Layers'!$AK$8:$AP$318,5,FALSE)+N173</f>
        <v>-99133</v>
      </c>
      <c r="U173" s="40">
        <f>+VLOOKUP(A173,'Change in Proportion Layers'!$AK$8:$AP$318,6,FALSE)+O173</f>
        <v>-40114</v>
      </c>
      <c r="W173" s="40">
        <f>('OPEB Amounts_Report'!G173-'OPEB Amounts_Report'!M173)</f>
        <v>-849822</v>
      </c>
      <c r="X173" s="109">
        <f t="shared" si="29"/>
        <v>0</v>
      </c>
    </row>
    <row r="174" spans="1:24">
      <c r="A174" s="24">
        <v>9324</v>
      </c>
      <c r="B174" s="3" t="s">
        <v>159</v>
      </c>
      <c r="C174" s="38">
        <f t="shared" si="30"/>
        <v>-49051</v>
      </c>
      <c r="D174" s="38">
        <f t="shared" si="31"/>
        <v>-41204</v>
      </c>
      <c r="E174" s="38">
        <f t="shared" si="32"/>
        <v>-20660</v>
      </c>
      <c r="F174" s="38">
        <f t="shared" si="33"/>
        <v>-25625</v>
      </c>
      <c r="G174" s="38">
        <f t="shared" si="34"/>
        <v>-8700</v>
      </c>
      <c r="I174" s="41"/>
      <c r="K174" s="40">
        <f>ROUND(VLOOKUP($A174,'Contribution Allocation_Report'!$A$9:$D$314,4,FALSE)*$K$321,0)</f>
        <v>-31476</v>
      </c>
      <c r="L174" s="40">
        <f>ROUND(VLOOKUP($A174,'Contribution Allocation_Report'!$A$9:$D$314,4,FALSE)*$L$321,0)</f>
        <v>-21221</v>
      </c>
      <c r="M174" s="40">
        <f>ROUND(VLOOKUP($A174,'Contribution Allocation_Report'!$A$9:$D$314,4,FALSE)*$M$321,0)</f>
        <v>-6807</v>
      </c>
      <c r="N174" s="40">
        <f>ROUND(VLOOKUP($A174,'Contribution Allocation_Report'!$A$9:$D$314,4,FALSE)*$N$321,0)</f>
        <v>280</v>
      </c>
      <c r="O174" s="40">
        <f>ROUND(VLOOKUP($A174,'Contribution Allocation_Report'!$A$9:$D$314,4,FALSE)*$O$321,0)</f>
        <v>-756</v>
      </c>
      <c r="Q174" s="40">
        <f>+VLOOKUP(A174,'Change in Proportion Layers'!$AK$8:$AP$318,2,FALSE)+K174</f>
        <v>-49051</v>
      </c>
      <c r="R174" s="40">
        <f>+VLOOKUP(A174,'Change in Proportion Layers'!$AK$8:$AP$318,3,FALSE)+L174</f>
        <v>-41204</v>
      </c>
      <c r="S174" s="40">
        <f>+VLOOKUP(A174,'Change in Proportion Layers'!$AK$8:$AP$318,4,FALSE)+M174</f>
        <v>-20660</v>
      </c>
      <c r="T174" s="40">
        <f>+VLOOKUP(A174,'Change in Proportion Layers'!$AK$8:$AP$318,5,FALSE)+N174</f>
        <v>-25625</v>
      </c>
      <c r="U174" s="40">
        <f>+VLOOKUP(A174,'Change in Proportion Layers'!$AK$8:$AP$318,6,FALSE)+O174-1</f>
        <v>-8700</v>
      </c>
      <c r="W174" s="40">
        <f>('OPEB Amounts_Report'!G174-'OPEB Amounts_Report'!M174)</f>
        <v>-145240</v>
      </c>
      <c r="X174" s="109">
        <f t="shared" si="29"/>
        <v>0</v>
      </c>
    </row>
    <row r="175" spans="1:24">
      <c r="A175" s="22">
        <v>22066</v>
      </c>
      <c r="B175" s="23" t="s">
        <v>160</v>
      </c>
      <c r="C175" s="37">
        <f t="shared" si="30"/>
        <v>-1129290</v>
      </c>
      <c r="D175" s="37">
        <f t="shared" si="31"/>
        <v>-760567</v>
      </c>
      <c r="E175" s="37">
        <f t="shared" si="32"/>
        <v>-115387</v>
      </c>
      <c r="F175" s="37">
        <f t="shared" si="33"/>
        <v>-10843</v>
      </c>
      <c r="G175" s="37">
        <f t="shared" si="34"/>
        <v>-59454</v>
      </c>
      <c r="I175" s="41"/>
      <c r="K175" s="40">
        <f>ROUND(VLOOKUP($A175,'Contribution Allocation_Report'!$A$9:$D$314,4,FALSE)*$K$321,0)</f>
        <v>-1395884</v>
      </c>
      <c r="L175" s="40">
        <f>ROUND(VLOOKUP($A175,'Contribution Allocation_Report'!$A$9:$D$314,4,FALSE)*$L$321,0)</f>
        <v>-941112</v>
      </c>
      <c r="M175" s="40">
        <f>ROUND(VLOOKUP($A175,'Contribution Allocation_Report'!$A$9:$D$314,4,FALSE)*$M$321,0)</f>
        <v>-301862</v>
      </c>
      <c r="N175" s="40">
        <f>ROUND(VLOOKUP($A175,'Contribution Allocation_Report'!$A$9:$D$314,4,FALSE)*$N$321,0)</f>
        <v>12426</v>
      </c>
      <c r="O175" s="40">
        <f>ROUND(VLOOKUP($A175,'Contribution Allocation_Report'!$A$9:$D$314,4,FALSE)*$O$321,0)</f>
        <v>-33538</v>
      </c>
      <c r="Q175" s="40">
        <f>+VLOOKUP(A175,'Change in Proportion Layers'!$AK$8:$AP$318,2,FALSE)+K175</f>
        <v>-1129290</v>
      </c>
      <c r="R175" s="40">
        <f>+VLOOKUP(A175,'Change in Proportion Layers'!$AK$8:$AP$318,3,FALSE)+L175</f>
        <v>-760567</v>
      </c>
      <c r="S175" s="40">
        <f>+VLOOKUP(A175,'Change in Proportion Layers'!$AK$8:$AP$318,4,FALSE)+M175</f>
        <v>-115387</v>
      </c>
      <c r="T175" s="40">
        <f>+VLOOKUP(A175,'Change in Proportion Layers'!$AK$8:$AP$318,5,FALSE)+N175</f>
        <v>-10843</v>
      </c>
      <c r="U175" s="40">
        <f>+VLOOKUP(A175,'Change in Proportion Layers'!$AK$8:$AP$318,6,FALSE)+O175</f>
        <v>-59454</v>
      </c>
      <c r="W175" s="40">
        <f>('OPEB Amounts_Report'!G175-'OPEB Amounts_Report'!M175)</f>
        <v>-2075541</v>
      </c>
      <c r="X175" s="109">
        <f t="shared" si="29"/>
        <v>0</v>
      </c>
    </row>
    <row r="176" spans="1:24">
      <c r="A176" s="24">
        <v>16356</v>
      </c>
      <c r="B176" s="3" t="s">
        <v>161</v>
      </c>
      <c r="C176" s="38">
        <f t="shared" si="30"/>
        <v>-64469</v>
      </c>
      <c r="D176" s="38">
        <f t="shared" si="31"/>
        <v>-44989</v>
      </c>
      <c r="E176" s="38">
        <f t="shared" si="32"/>
        <v>-647</v>
      </c>
      <c r="F176" s="38">
        <f t="shared" si="33"/>
        <v>9127</v>
      </c>
      <c r="G176" s="38">
        <f t="shared" si="34"/>
        <v>2144</v>
      </c>
      <c r="I176" s="41"/>
      <c r="K176" s="40">
        <f>ROUND(VLOOKUP($A176,'Contribution Allocation_Report'!$A$9:$D$314,4,FALSE)*$K$321,0)</f>
        <v>-93132</v>
      </c>
      <c r="L176" s="40">
        <f>ROUND(VLOOKUP($A176,'Contribution Allocation_Report'!$A$9:$D$314,4,FALSE)*$L$321,0)</f>
        <v>-62790</v>
      </c>
      <c r="M176" s="40">
        <f>ROUND(VLOOKUP($A176,'Contribution Allocation_Report'!$A$9:$D$314,4,FALSE)*$M$321,0)</f>
        <v>-20140</v>
      </c>
      <c r="N176" s="40">
        <f>ROUND(VLOOKUP($A176,'Contribution Allocation_Report'!$A$9:$D$314,4,FALSE)*$N$321,0)</f>
        <v>829</v>
      </c>
      <c r="O176" s="40">
        <f>ROUND(VLOOKUP($A176,'Contribution Allocation_Report'!$A$9:$D$314,4,FALSE)*$O$321,0)</f>
        <v>-2238</v>
      </c>
      <c r="Q176" s="40">
        <f>+VLOOKUP(A176,'Change in Proportion Layers'!$AK$8:$AP$318,2,FALSE)+K176</f>
        <v>-64469</v>
      </c>
      <c r="R176" s="40">
        <f>+VLOOKUP(A176,'Change in Proportion Layers'!$AK$8:$AP$318,3,FALSE)+L176</f>
        <v>-44989</v>
      </c>
      <c r="S176" s="40">
        <f>+VLOOKUP(A176,'Change in Proportion Layers'!$AK$8:$AP$318,4,FALSE)+M176</f>
        <v>-647</v>
      </c>
      <c r="T176" s="40">
        <f>+VLOOKUP(A176,'Change in Proportion Layers'!$AK$8:$AP$318,5,FALSE)+N176</f>
        <v>9127</v>
      </c>
      <c r="U176" s="40">
        <f>+VLOOKUP(A176,'Change in Proportion Layers'!$AK$8:$AP$318,6,FALSE)+O176</f>
        <v>2144</v>
      </c>
      <c r="W176" s="40">
        <f>('OPEB Amounts_Report'!G176-'OPEB Amounts_Report'!M176)</f>
        <v>-98834</v>
      </c>
      <c r="X176" s="109">
        <f t="shared" si="29"/>
        <v>0</v>
      </c>
    </row>
    <row r="177" spans="1:24">
      <c r="A177" s="22">
        <v>31091</v>
      </c>
      <c r="B177" s="23" t="s">
        <v>162</v>
      </c>
      <c r="C177" s="37">
        <f t="shared" si="30"/>
        <v>-40696</v>
      </c>
      <c r="D177" s="37">
        <f t="shared" si="31"/>
        <v>-44403</v>
      </c>
      <c r="E177" s="37">
        <f t="shared" si="32"/>
        <v>-4052</v>
      </c>
      <c r="F177" s="37">
        <f t="shared" si="33"/>
        <v>-1895</v>
      </c>
      <c r="G177" s="37">
        <f t="shared" si="34"/>
        <v>-1628</v>
      </c>
      <c r="I177" s="41"/>
      <c r="K177" s="40">
        <f>ROUND(VLOOKUP($A177,'Contribution Allocation_Report'!$A$9:$D$314,4,FALSE)*$K$321,0)</f>
        <v>-83583</v>
      </c>
      <c r="L177" s="40">
        <f>ROUND(VLOOKUP($A177,'Contribution Allocation_Report'!$A$9:$D$314,4,FALSE)*$L$321,0)</f>
        <v>-56352</v>
      </c>
      <c r="M177" s="40">
        <f>ROUND(VLOOKUP($A177,'Contribution Allocation_Report'!$A$9:$D$314,4,FALSE)*$M$321,0)</f>
        <v>-18075</v>
      </c>
      <c r="N177" s="40">
        <f>ROUND(VLOOKUP($A177,'Contribution Allocation_Report'!$A$9:$D$314,4,FALSE)*$N$321,0)</f>
        <v>744</v>
      </c>
      <c r="O177" s="40">
        <f>ROUND(VLOOKUP($A177,'Contribution Allocation_Report'!$A$9:$D$314,4,FALSE)*$O$321,0)</f>
        <v>-2008</v>
      </c>
      <c r="Q177" s="40">
        <f>+VLOOKUP(A177,'Change in Proportion Layers'!$AK$8:$AP$318,2,FALSE)+K177</f>
        <v>-40696</v>
      </c>
      <c r="R177" s="40">
        <f>+VLOOKUP(A177,'Change in Proportion Layers'!$AK$8:$AP$318,3,FALSE)+L177</f>
        <v>-44403</v>
      </c>
      <c r="S177" s="40">
        <f>+VLOOKUP(A177,'Change in Proportion Layers'!$AK$8:$AP$318,4,FALSE)+M177</f>
        <v>-4052</v>
      </c>
      <c r="T177" s="40">
        <f>+VLOOKUP(A177,'Change in Proportion Layers'!$AK$8:$AP$318,5,FALSE)+N177</f>
        <v>-1895</v>
      </c>
      <c r="U177" s="40">
        <f>+VLOOKUP(A177,'Change in Proportion Layers'!$AK$8:$AP$318,6,FALSE)+O177-2</f>
        <v>-1628</v>
      </c>
      <c r="W177" s="40">
        <f>('OPEB Amounts_Report'!G177-'OPEB Amounts_Report'!M177)</f>
        <v>-92674</v>
      </c>
      <c r="X177" s="109">
        <f t="shared" si="29"/>
        <v>0</v>
      </c>
    </row>
    <row r="178" spans="1:24">
      <c r="A178" s="24">
        <v>2342</v>
      </c>
      <c r="B178" s="3" t="s">
        <v>163</v>
      </c>
      <c r="C178" s="38">
        <f t="shared" si="30"/>
        <v>-70813</v>
      </c>
      <c r="D178" s="38">
        <f t="shared" si="31"/>
        <v>-61386</v>
      </c>
      <c r="E178" s="38">
        <f t="shared" si="32"/>
        <v>-15438</v>
      </c>
      <c r="F178" s="38">
        <f t="shared" si="33"/>
        <v>-9775</v>
      </c>
      <c r="G178" s="38">
        <f t="shared" si="34"/>
        <v>3553</v>
      </c>
      <c r="I178" s="41"/>
      <c r="K178" s="40">
        <f>ROUND(VLOOKUP($A178,'Contribution Allocation_Report'!$A$9:$D$314,4,FALSE)*$K$321,0)</f>
        <v>-142335</v>
      </c>
      <c r="L178" s="40">
        <f>ROUND(VLOOKUP($A178,'Contribution Allocation_Report'!$A$9:$D$314,4,FALSE)*$L$321,0)</f>
        <v>-95963</v>
      </c>
      <c r="M178" s="40">
        <f>ROUND(VLOOKUP($A178,'Contribution Allocation_Report'!$A$9:$D$314,4,FALSE)*$M$321,0)</f>
        <v>-30780</v>
      </c>
      <c r="N178" s="40">
        <f>ROUND(VLOOKUP($A178,'Contribution Allocation_Report'!$A$9:$D$314,4,FALSE)*$N$321,0)</f>
        <v>1267</v>
      </c>
      <c r="O178" s="40">
        <f>ROUND(VLOOKUP($A178,'Contribution Allocation_Report'!$A$9:$D$314,4,FALSE)*$O$321,0)</f>
        <v>-3420</v>
      </c>
      <c r="Q178" s="40">
        <f>+VLOOKUP(A178,'Change in Proportion Layers'!$AK$8:$AP$318,2,FALSE)+K178</f>
        <v>-70813</v>
      </c>
      <c r="R178" s="40">
        <f>+VLOOKUP(A178,'Change in Proportion Layers'!$AK$8:$AP$318,3,FALSE)+L178</f>
        <v>-61386</v>
      </c>
      <c r="S178" s="40">
        <f>+VLOOKUP(A178,'Change in Proportion Layers'!$AK$8:$AP$318,4,FALSE)+M178</f>
        <v>-15438</v>
      </c>
      <c r="T178" s="40">
        <f>+VLOOKUP(A178,'Change in Proportion Layers'!$AK$8:$AP$318,5,FALSE)+N178</f>
        <v>-9775</v>
      </c>
      <c r="U178" s="40">
        <f>+VLOOKUP(A178,'Change in Proportion Layers'!$AK$8:$AP$318,6,FALSE)+O178+1</f>
        <v>3553</v>
      </c>
      <c r="W178" s="40">
        <f>('OPEB Amounts_Report'!G178-'OPEB Amounts_Report'!M178)</f>
        <v>-153859</v>
      </c>
      <c r="X178" s="109">
        <f t="shared" si="29"/>
        <v>0</v>
      </c>
    </row>
    <row r="179" spans="1:24">
      <c r="A179" s="22">
        <v>22067</v>
      </c>
      <c r="B179" s="23" t="s">
        <v>164</v>
      </c>
      <c r="C179" s="37">
        <f t="shared" si="30"/>
        <v>-211320</v>
      </c>
      <c r="D179" s="37">
        <f t="shared" si="31"/>
        <v>-112834</v>
      </c>
      <c r="E179" s="37">
        <f t="shared" si="32"/>
        <v>-54751</v>
      </c>
      <c r="F179" s="37">
        <f t="shared" si="33"/>
        <v>-51661</v>
      </c>
      <c r="G179" s="37">
        <f t="shared" si="34"/>
        <v>-23050</v>
      </c>
      <c r="I179" s="41"/>
      <c r="K179" s="40">
        <f>ROUND(VLOOKUP($A179,'Contribution Allocation_Report'!$A$9:$D$314,4,FALSE)*$K$321,0)</f>
        <v>-171782</v>
      </c>
      <c r="L179" s="40">
        <f>ROUND(VLOOKUP($A179,'Contribution Allocation_Report'!$A$9:$D$314,4,FALSE)*$L$321,0)</f>
        <v>-115816</v>
      </c>
      <c r="M179" s="40">
        <f>ROUND(VLOOKUP($A179,'Contribution Allocation_Report'!$A$9:$D$314,4,FALSE)*$M$321,0)</f>
        <v>-37148</v>
      </c>
      <c r="N179" s="40">
        <f>ROUND(VLOOKUP($A179,'Contribution Allocation_Report'!$A$9:$D$314,4,FALSE)*$N$321,0)</f>
        <v>1529</v>
      </c>
      <c r="O179" s="40">
        <f>ROUND(VLOOKUP($A179,'Contribution Allocation_Report'!$A$9:$D$314,4,FALSE)*$O$321,0)</f>
        <v>-4127</v>
      </c>
      <c r="Q179" s="40">
        <f>+VLOOKUP(A179,'Change in Proportion Layers'!$AK$8:$AP$318,2,FALSE)+K179</f>
        <v>-211320</v>
      </c>
      <c r="R179" s="40">
        <f>+VLOOKUP(A179,'Change in Proportion Layers'!$AK$8:$AP$318,3,FALSE)+L179</f>
        <v>-112834</v>
      </c>
      <c r="S179" s="40">
        <f>+VLOOKUP(A179,'Change in Proportion Layers'!$AK$8:$AP$318,4,FALSE)+M179</f>
        <v>-54751</v>
      </c>
      <c r="T179" s="40">
        <f>+VLOOKUP(A179,'Change in Proportion Layers'!$AK$8:$AP$318,5,FALSE)+N179</f>
        <v>-51661</v>
      </c>
      <c r="U179" s="40">
        <f>+VLOOKUP(A179,'Change in Proportion Layers'!$AK$8:$AP$318,6,FALSE)+O179-1</f>
        <v>-23050</v>
      </c>
      <c r="W179" s="40">
        <f>('OPEB Amounts_Report'!G179-'OPEB Amounts_Report'!M179)</f>
        <v>-453616</v>
      </c>
      <c r="X179" s="109">
        <f t="shared" si="29"/>
        <v>0</v>
      </c>
    </row>
    <row r="180" spans="1:24">
      <c r="A180" s="24">
        <v>25616</v>
      </c>
      <c r="B180" s="3" t="s">
        <v>165</v>
      </c>
      <c r="C180" s="38">
        <f t="shared" si="30"/>
        <v>-114231</v>
      </c>
      <c r="D180" s="38">
        <f t="shared" si="31"/>
        <v>-100587</v>
      </c>
      <c r="E180" s="38">
        <f t="shared" si="32"/>
        <v>-55650</v>
      </c>
      <c r="F180" s="38">
        <f t="shared" si="33"/>
        <v>-20295</v>
      </c>
      <c r="G180" s="38">
        <f t="shared" si="34"/>
        <v>-6838</v>
      </c>
      <c r="I180" s="41"/>
      <c r="K180" s="40">
        <f>ROUND(VLOOKUP($A180,'Contribution Allocation_Report'!$A$9:$D$314,4,FALSE)*$K$321,0)</f>
        <v>-68771</v>
      </c>
      <c r="L180" s="40">
        <f>ROUND(VLOOKUP($A180,'Contribution Allocation_Report'!$A$9:$D$314,4,FALSE)*$L$321,0)</f>
        <v>-46366</v>
      </c>
      <c r="M180" s="40">
        <f>ROUND(VLOOKUP($A180,'Contribution Allocation_Report'!$A$9:$D$314,4,FALSE)*$M$321,0)</f>
        <v>-14872</v>
      </c>
      <c r="N180" s="40">
        <f>ROUND(VLOOKUP($A180,'Contribution Allocation_Report'!$A$9:$D$314,4,FALSE)*$N$321,0)</f>
        <v>612</v>
      </c>
      <c r="O180" s="40">
        <f>ROUND(VLOOKUP($A180,'Contribution Allocation_Report'!$A$9:$D$314,4,FALSE)*$O$321,0)</f>
        <v>-1652</v>
      </c>
      <c r="Q180" s="40">
        <f>+VLOOKUP(A180,'Change in Proportion Layers'!$AK$8:$AP$318,2,FALSE)+K180</f>
        <v>-114231</v>
      </c>
      <c r="R180" s="40">
        <f>+VLOOKUP(A180,'Change in Proportion Layers'!$AK$8:$AP$318,3,FALSE)+L180</f>
        <v>-100587</v>
      </c>
      <c r="S180" s="40">
        <f>+VLOOKUP(A180,'Change in Proportion Layers'!$AK$8:$AP$318,4,FALSE)+M180</f>
        <v>-55650</v>
      </c>
      <c r="T180" s="40">
        <f>+VLOOKUP(A180,'Change in Proportion Layers'!$AK$8:$AP$318,5,FALSE)+N180</f>
        <v>-20295</v>
      </c>
      <c r="U180" s="40">
        <f>+VLOOKUP(A180,'Change in Proportion Layers'!$AK$8:$AP$318,6,FALSE)+O180</f>
        <v>-6838</v>
      </c>
      <c r="W180" s="40">
        <f>('OPEB Amounts_Report'!G180-'OPEB Amounts_Report'!M180)</f>
        <v>-297601</v>
      </c>
      <c r="X180" s="109">
        <f t="shared" si="29"/>
        <v>0</v>
      </c>
    </row>
    <row r="181" spans="1:24">
      <c r="A181" s="22">
        <v>2354</v>
      </c>
      <c r="B181" s="23" t="s">
        <v>166</v>
      </c>
      <c r="C181" s="37">
        <f t="shared" si="30"/>
        <v>-256210</v>
      </c>
      <c r="D181" s="37">
        <f t="shared" si="31"/>
        <v>-167130</v>
      </c>
      <c r="E181" s="37">
        <f t="shared" si="32"/>
        <v>-97181</v>
      </c>
      <c r="F181" s="37">
        <f t="shared" si="33"/>
        <v>-5070</v>
      </c>
      <c r="G181" s="37">
        <f t="shared" si="34"/>
        <v>-13993</v>
      </c>
      <c r="I181" s="41"/>
      <c r="K181" s="40">
        <f>ROUND(VLOOKUP($A181,'Contribution Allocation_Report'!$A$9:$D$314,4,FALSE)*$K$321,0)</f>
        <v>-292639</v>
      </c>
      <c r="L181" s="40">
        <f>ROUND(VLOOKUP($A181,'Contribution Allocation_Report'!$A$9:$D$314,4,FALSE)*$L$321,0)</f>
        <v>-197299</v>
      </c>
      <c r="M181" s="40">
        <f>ROUND(VLOOKUP($A181,'Contribution Allocation_Report'!$A$9:$D$314,4,FALSE)*$M$321,0)</f>
        <v>-63284</v>
      </c>
      <c r="N181" s="40">
        <f>ROUND(VLOOKUP($A181,'Contribution Allocation_Report'!$A$9:$D$314,4,FALSE)*$N$321,0)</f>
        <v>2605</v>
      </c>
      <c r="O181" s="40">
        <f>ROUND(VLOOKUP($A181,'Contribution Allocation_Report'!$A$9:$D$314,4,FALSE)*$O$321,0)</f>
        <v>-7031</v>
      </c>
      <c r="Q181" s="40">
        <f>+VLOOKUP(A181,'Change in Proportion Layers'!$AK$8:$AP$318,2,FALSE)+K181</f>
        <v>-256210</v>
      </c>
      <c r="R181" s="40">
        <f>+VLOOKUP(A181,'Change in Proportion Layers'!$AK$8:$AP$318,3,FALSE)+L181</f>
        <v>-167130</v>
      </c>
      <c r="S181" s="40">
        <f>+VLOOKUP(A181,'Change in Proportion Layers'!$AK$8:$AP$318,4,FALSE)+M181</f>
        <v>-97181</v>
      </c>
      <c r="T181" s="40">
        <f>+VLOOKUP(A181,'Change in Proportion Layers'!$AK$8:$AP$318,5,FALSE)+N181</f>
        <v>-5070</v>
      </c>
      <c r="U181" s="40">
        <f>+VLOOKUP(A181,'Change in Proportion Layers'!$AK$8:$AP$318,6,FALSE)+O181+1</f>
        <v>-13993</v>
      </c>
      <c r="W181" s="40">
        <f>('OPEB Amounts_Report'!G181-'OPEB Amounts_Report'!M181)</f>
        <v>-539584</v>
      </c>
      <c r="X181" s="109">
        <f t="shared" si="29"/>
        <v>0</v>
      </c>
    </row>
    <row r="182" spans="1:24">
      <c r="A182" s="24">
        <v>2148</v>
      </c>
      <c r="B182" s="3" t="s">
        <v>167</v>
      </c>
      <c r="C182" s="38">
        <f t="shared" si="30"/>
        <v>-106615</v>
      </c>
      <c r="D182" s="38">
        <f t="shared" si="31"/>
        <v>-79654</v>
      </c>
      <c r="E182" s="38">
        <f t="shared" si="32"/>
        <v>-36597</v>
      </c>
      <c r="F182" s="38">
        <f t="shared" si="33"/>
        <v>-9745</v>
      </c>
      <c r="G182" s="38">
        <f t="shared" si="34"/>
        <v>-8836</v>
      </c>
      <c r="I182" s="41"/>
      <c r="K182" s="40">
        <f>ROUND(VLOOKUP($A182,'Contribution Allocation_Report'!$A$9:$D$314,4,FALSE)*$K$321,0)</f>
        <v>-80390</v>
      </c>
      <c r="L182" s="40">
        <f>ROUND(VLOOKUP($A182,'Contribution Allocation_Report'!$A$9:$D$314,4,FALSE)*$L$321,0)</f>
        <v>-54200</v>
      </c>
      <c r="M182" s="40">
        <f>ROUND(VLOOKUP($A182,'Contribution Allocation_Report'!$A$9:$D$314,4,FALSE)*$M$321,0)</f>
        <v>-17385</v>
      </c>
      <c r="N182" s="40">
        <f>ROUND(VLOOKUP($A182,'Contribution Allocation_Report'!$A$9:$D$314,4,FALSE)*$N$321,0)</f>
        <v>716</v>
      </c>
      <c r="O182" s="40">
        <f>ROUND(VLOOKUP($A182,'Contribution Allocation_Report'!$A$9:$D$314,4,FALSE)*$O$321,0)</f>
        <v>-1932</v>
      </c>
      <c r="Q182" s="40">
        <f>+VLOOKUP(A182,'Change in Proportion Layers'!$AK$8:$AP$318,2,FALSE)+K182</f>
        <v>-106615</v>
      </c>
      <c r="R182" s="40">
        <f>+VLOOKUP(A182,'Change in Proportion Layers'!$AK$8:$AP$318,3,FALSE)+L182</f>
        <v>-79654</v>
      </c>
      <c r="S182" s="40">
        <f>+VLOOKUP(A182,'Change in Proportion Layers'!$AK$8:$AP$318,4,FALSE)+M182</f>
        <v>-36597</v>
      </c>
      <c r="T182" s="40">
        <f>+VLOOKUP(A182,'Change in Proportion Layers'!$AK$8:$AP$318,5,FALSE)+N182</f>
        <v>-9745</v>
      </c>
      <c r="U182" s="40">
        <f>+VLOOKUP(A182,'Change in Proportion Layers'!$AK$8:$AP$318,6,FALSE)+O182+1</f>
        <v>-8836</v>
      </c>
      <c r="W182" s="40">
        <f>('OPEB Amounts_Report'!G182-'OPEB Amounts_Report'!M182)</f>
        <v>-241447</v>
      </c>
      <c r="X182" s="109">
        <f t="shared" si="29"/>
        <v>0</v>
      </c>
    </row>
    <row r="183" spans="1:24">
      <c r="A183" s="22">
        <v>1418</v>
      </c>
      <c r="B183" s="23" t="s">
        <v>168</v>
      </c>
      <c r="C183" s="37">
        <f t="shared" si="30"/>
        <v>-150842</v>
      </c>
      <c r="D183" s="37">
        <f t="shared" si="31"/>
        <v>-221264</v>
      </c>
      <c r="E183" s="37">
        <f t="shared" si="32"/>
        <v>-58220</v>
      </c>
      <c r="F183" s="37">
        <f t="shared" si="33"/>
        <v>25359</v>
      </c>
      <c r="G183" s="37">
        <f t="shared" si="34"/>
        <v>11162</v>
      </c>
      <c r="I183" s="41"/>
      <c r="K183" s="40">
        <f>ROUND(VLOOKUP($A183,'Contribution Allocation_Report'!$A$9:$D$314,4,FALSE)*$K$321,0)</f>
        <v>-427448</v>
      </c>
      <c r="L183" s="40">
        <f>ROUND(VLOOKUP($A183,'Contribution Allocation_Report'!$A$9:$D$314,4,FALSE)*$L$321,0)</f>
        <v>-288187</v>
      </c>
      <c r="M183" s="40">
        <f>ROUND(VLOOKUP($A183,'Contribution Allocation_Report'!$A$9:$D$314,4,FALSE)*$M$321,0)</f>
        <v>-92436</v>
      </c>
      <c r="N183" s="40">
        <f>ROUND(VLOOKUP($A183,'Contribution Allocation_Report'!$A$9:$D$314,4,FALSE)*$N$321,0)</f>
        <v>3805</v>
      </c>
      <c r="O183" s="40">
        <f>ROUND(VLOOKUP($A183,'Contribution Allocation_Report'!$A$9:$D$314,4,FALSE)*$O$321,0)</f>
        <v>-10270</v>
      </c>
      <c r="Q183" s="40">
        <f>+VLOOKUP(A183,'Change in Proportion Layers'!$AK$8:$AP$318,2,FALSE)+K183</f>
        <v>-150842</v>
      </c>
      <c r="R183" s="40">
        <f>+VLOOKUP(A183,'Change in Proportion Layers'!$AK$8:$AP$318,3,FALSE)+L183</f>
        <v>-221264</v>
      </c>
      <c r="S183" s="40">
        <f>+VLOOKUP(A183,'Change in Proportion Layers'!$AK$8:$AP$318,4,FALSE)+M183</f>
        <v>-58220</v>
      </c>
      <c r="T183" s="40">
        <f>+VLOOKUP(A183,'Change in Proportion Layers'!$AK$8:$AP$318,5,FALSE)+N183</f>
        <v>25359</v>
      </c>
      <c r="U183" s="40">
        <f>+VLOOKUP(A183,'Change in Proportion Layers'!$AK$8:$AP$318,6,FALSE)+O183-1</f>
        <v>11162</v>
      </c>
      <c r="W183" s="40">
        <f>('OPEB Amounts_Report'!G183-'OPEB Amounts_Report'!M183)</f>
        <v>-393805</v>
      </c>
      <c r="X183" s="109">
        <f t="shared" si="29"/>
        <v>0</v>
      </c>
    </row>
    <row r="184" spans="1:24">
      <c r="A184" s="24">
        <v>12102</v>
      </c>
      <c r="B184" s="3" t="s">
        <v>169</v>
      </c>
      <c r="C184" s="38">
        <f t="shared" si="30"/>
        <v>-1834142</v>
      </c>
      <c r="D184" s="38">
        <f t="shared" si="31"/>
        <v>-1449208</v>
      </c>
      <c r="E184" s="38">
        <f t="shared" si="32"/>
        <v>-605887</v>
      </c>
      <c r="F184" s="38">
        <f t="shared" si="33"/>
        <v>-124943</v>
      </c>
      <c r="G184" s="38">
        <f t="shared" si="34"/>
        <v>68117</v>
      </c>
      <c r="I184" s="41"/>
      <c r="K184" s="40">
        <f>ROUND(VLOOKUP($A184,'Contribution Allocation_Report'!$A$9:$D$314,4,FALSE)*$K$321,0)</f>
        <v>-2150481</v>
      </c>
      <c r="L184" s="40">
        <f>ROUND(VLOOKUP($A184,'Contribution Allocation_Report'!$A$9:$D$314,4,FALSE)*$L$321,0)</f>
        <v>-1449865</v>
      </c>
      <c r="M184" s="40">
        <f>ROUND(VLOOKUP($A184,'Contribution Allocation_Report'!$A$9:$D$314,4,FALSE)*$M$321,0)</f>
        <v>-465045</v>
      </c>
      <c r="N184" s="40">
        <f>ROUND(VLOOKUP($A184,'Contribution Allocation_Report'!$A$9:$D$314,4,FALSE)*$N$321,0)</f>
        <v>19144</v>
      </c>
      <c r="O184" s="40">
        <f>ROUND(VLOOKUP($A184,'Contribution Allocation_Report'!$A$9:$D$314,4,FALSE)*$O$321,0)</f>
        <v>-51669</v>
      </c>
      <c r="Q184" s="40">
        <f>+VLOOKUP(A184,'Change in Proportion Layers'!$AK$8:$AP$318,2,FALSE)+K184</f>
        <v>-1834142</v>
      </c>
      <c r="R184" s="40">
        <f>+VLOOKUP(A184,'Change in Proportion Layers'!$AK$8:$AP$318,3,FALSE)+L184</f>
        <v>-1449208</v>
      </c>
      <c r="S184" s="40">
        <f>+VLOOKUP(A184,'Change in Proportion Layers'!$AK$8:$AP$318,4,FALSE)+M184</f>
        <v>-605887</v>
      </c>
      <c r="T184" s="40">
        <f>+VLOOKUP(A184,'Change in Proportion Layers'!$AK$8:$AP$318,5,FALSE)+N184</f>
        <v>-124943</v>
      </c>
      <c r="U184" s="40">
        <f>+VLOOKUP(A184,'Change in Proportion Layers'!$AK$8:$AP$318,6,FALSE)+O184</f>
        <v>68117</v>
      </c>
      <c r="W184" s="40">
        <f>('OPEB Amounts_Report'!G184-'OPEB Amounts_Report'!M184)</f>
        <v>-3946063</v>
      </c>
      <c r="X184" s="109">
        <f t="shared" si="29"/>
        <v>0</v>
      </c>
    </row>
    <row r="185" spans="1:24">
      <c r="A185" s="22">
        <v>2414</v>
      </c>
      <c r="B185" s="23" t="s">
        <v>170</v>
      </c>
      <c r="C185" s="37">
        <f t="shared" si="30"/>
        <v>-90856</v>
      </c>
      <c r="D185" s="37">
        <f t="shared" si="31"/>
        <v>-66769</v>
      </c>
      <c r="E185" s="37">
        <f t="shared" si="32"/>
        <v>-18303</v>
      </c>
      <c r="F185" s="37">
        <f t="shared" si="33"/>
        <v>-4839</v>
      </c>
      <c r="G185" s="37">
        <f t="shared" si="34"/>
        <v>-126</v>
      </c>
      <c r="I185" s="41"/>
      <c r="K185" s="40">
        <f>ROUND(VLOOKUP($A185,'Contribution Allocation_Report'!$A$9:$D$314,4,FALSE)*$K$321,0)</f>
        <v>-209326</v>
      </c>
      <c r="L185" s="40">
        <f>ROUND(VLOOKUP($A185,'Contribution Allocation_Report'!$A$9:$D$314,4,FALSE)*$L$321,0)</f>
        <v>-141129</v>
      </c>
      <c r="M185" s="40">
        <f>ROUND(VLOOKUP($A185,'Contribution Allocation_Report'!$A$9:$D$314,4,FALSE)*$M$321,0)</f>
        <v>-45267</v>
      </c>
      <c r="N185" s="40">
        <f>ROUND(VLOOKUP($A185,'Contribution Allocation_Report'!$A$9:$D$314,4,FALSE)*$N$321,0)</f>
        <v>1863</v>
      </c>
      <c r="O185" s="40">
        <f>ROUND(VLOOKUP($A185,'Contribution Allocation_Report'!$A$9:$D$314,4,FALSE)*$O$321,0)</f>
        <v>-5029</v>
      </c>
      <c r="Q185" s="40">
        <f>+VLOOKUP(A185,'Change in Proportion Layers'!$AK$8:$AP$318,2,FALSE)+K185</f>
        <v>-90856</v>
      </c>
      <c r="R185" s="40">
        <f>+VLOOKUP(A185,'Change in Proportion Layers'!$AK$8:$AP$318,3,FALSE)+L185</f>
        <v>-66769</v>
      </c>
      <c r="S185" s="40">
        <f>+VLOOKUP(A185,'Change in Proportion Layers'!$AK$8:$AP$318,4,FALSE)+M185</f>
        <v>-18303</v>
      </c>
      <c r="T185" s="40">
        <f>+VLOOKUP(A185,'Change in Proportion Layers'!$AK$8:$AP$318,5,FALSE)+N185</f>
        <v>-4839</v>
      </c>
      <c r="U185" s="40">
        <f>+VLOOKUP(A185,'Change in Proportion Layers'!$AK$8:$AP$318,6,FALSE)+O185</f>
        <v>-126</v>
      </c>
      <c r="W185" s="40">
        <f>('OPEB Amounts_Report'!G185-'OPEB Amounts_Report'!M185)</f>
        <v>-180893</v>
      </c>
      <c r="X185" s="109">
        <f t="shared" si="29"/>
        <v>0</v>
      </c>
    </row>
    <row r="186" spans="1:24">
      <c r="A186" s="24">
        <v>6124</v>
      </c>
      <c r="B186" s="3" t="s">
        <v>171</v>
      </c>
      <c r="C186" s="38">
        <f t="shared" si="30"/>
        <v>-1070352</v>
      </c>
      <c r="D186" s="38">
        <f t="shared" si="31"/>
        <v>-529714</v>
      </c>
      <c r="E186" s="38">
        <f t="shared" si="32"/>
        <v>62401</v>
      </c>
      <c r="F186" s="38">
        <f t="shared" si="33"/>
        <v>240079</v>
      </c>
      <c r="G186" s="38">
        <f t="shared" si="34"/>
        <v>799</v>
      </c>
      <c r="I186" s="41"/>
      <c r="K186" s="40">
        <f>ROUND(VLOOKUP($A186,'Contribution Allocation_Report'!$A$9:$D$314,4,FALSE)*$K$321,0)</f>
        <v>-1240460</v>
      </c>
      <c r="L186" s="40">
        <f>ROUND(VLOOKUP($A186,'Contribution Allocation_Report'!$A$9:$D$314,4,FALSE)*$L$321,0)</f>
        <v>-836324</v>
      </c>
      <c r="M186" s="40">
        <f>ROUND(VLOOKUP($A186,'Contribution Allocation_Report'!$A$9:$D$314,4,FALSE)*$M$321,0)</f>
        <v>-268251</v>
      </c>
      <c r="N186" s="40">
        <f>ROUND(VLOOKUP($A186,'Contribution Allocation_Report'!$A$9:$D$314,4,FALSE)*$N$321,0)</f>
        <v>11043</v>
      </c>
      <c r="O186" s="40">
        <f>ROUND(VLOOKUP($A186,'Contribution Allocation_Report'!$A$9:$D$314,4,FALSE)*$O$321,0)</f>
        <v>-29804</v>
      </c>
      <c r="Q186" s="40">
        <f>+VLOOKUP(A186,'Change in Proportion Layers'!$AK$8:$AP$318,2,FALSE)+K186</f>
        <v>-1070352</v>
      </c>
      <c r="R186" s="40">
        <f>+VLOOKUP(A186,'Change in Proportion Layers'!$AK$8:$AP$318,3,FALSE)+L186</f>
        <v>-529714</v>
      </c>
      <c r="S186" s="40">
        <f>+VLOOKUP(A186,'Change in Proportion Layers'!$AK$8:$AP$318,4,FALSE)+M186</f>
        <v>62401</v>
      </c>
      <c r="T186" s="40">
        <f>+VLOOKUP(A186,'Change in Proportion Layers'!$AK$8:$AP$318,5,FALSE)+N186</f>
        <v>240079</v>
      </c>
      <c r="U186" s="40">
        <f>+VLOOKUP(A186,'Change in Proportion Layers'!$AK$8:$AP$318,6,FALSE)+O186-1</f>
        <v>799</v>
      </c>
      <c r="W186" s="40">
        <f>('OPEB Amounts_Report'!G186-'OPEB Amounts_Report'!M186)</f>
        <v>-1296787</v>
      </c>
      <c r="X186" s="109">
        <f t="shared" si="29"/>
        <v>0</v>
      </c>
    </row>
    <row r="187" spans="1:24">
      <c r="A187" s="22">
        <v>4097</v>
      </c>
      <c r="B187" s="23" t="s">
        <v>172</v>
      </c>
      <c r="C187" s="37">
        <f t="shared" si="30"/>
        <v>-1236242</v>
      </c>
      <c r="D187" s="37">
        <f t="shared" si="31"/>
        <v>-835191</v>
      </c>
      <c r="E187" s="37">
        <f t="shared" si="32"/>
        <v>-295016</v>
      </c>
      <c r="F187" s="37">
        <f t="shared" si="33"/>
        <v>-44808</v>
      </c>
      <c r="G187" s="37">
        <f t="shared" si="34"/>
        <v>-31212</v>
      </c>
      <c r="I187" s="41"/>
      <c r="K187" s="40">
        <f>ROUND(VLOOKUP($A187,'Contribution Allocation_Report'!$A$9:$D$314,4,FALSE)*$K$321,0)</f>
        <v>-1157981</v>
      </c>
      <c r="L187" s="40">
        <f>ROUND(VLOOKUP($A187,'Contribution Allocation_Report'!$A$9:$D$314,4,FALSE)*$L$321,0)</f>
        <v>-780716</v>
      </c>
      <c r="M187" s="40">
        <f>ROUND(VLOOKUP($A187,'Contribution Allocation_Report'!$A$9:$D$314,4,FALSE)*$M$321,0)</f>
        <v>-250415</v>
      </c>
      <c r="N187" s="40">
        <f>ROUND(VLOOKUP($A187,'Contribution Allocation_Report'!$A$9:$D$314,4,FALSE)*$N$321,0)</f>
        <v>10308</v>
      </c>
      <c r="O187" s="40">
        <f>ROUND(VLOOKUP($A187,'Contribution Allocation_Report'!$A$9:$D$314,4,FALSE)*$O$321,0)</f>
        <v>-27822</v>
      </c>
      <c r="Q187" s="40">
        <f>+VLOOKUP(A187,'Change in Proportion Layers'!$AK$8:$AP$318,2,FALSE)+K187</f>
        <v>-1236242</v>
      </c>
      <c r="R187" s="40">
        <f>+VLOOKUP(A187,'Change in Proportion Layers'!$AK$8:$AP$318,3,FALSE)+L187</f>
        <v>-835191</v>
      </c>
      <c r="S187" s="40">
        <f>+VLOOKUP(A187,'Change in Proportion Layers'!$AK$8:$AP$318,4,FALSE)+M187</f>
        <v>-295016</v>
      </c>
      <c r="T187" s="40">
        <f>+VLOOKUP(A187,'Change in Proportion Layers'!$AK$8:$AP$318,5,FALSE)+N187</f>
        <v>-44808</v>
      </c>
      <c r="U187" s="40">
        <f>+VLOOKUP(A187,'Change in Proportion Layers'!$AK$8:$AP$318,6,FALSE)+O187</f>
        <v>-31212</v>
      </c>
      <c r="W187" s="40">
        <f>('OPEB Amounts_Report'!G187-'OPEB Amounts_Report'!M187)</f>
        <v>-2442469</v>
      </c>
      <c r="X187" s="109">
        <f t="shared" si="29"/>
        <v>0</v>
      </c>
    </row>
    <row r="188" spans="1:24">
      <c r="A188" s="24">
        <v>1416</v>
      </c>
      <c r="B188" s="3" t="s">
        <v>173</v>
      </c>
      <c r="C188" s="38">
        <f t="shared" si="30"/>
        <v>-103448</v>
      </c>
      <c r="D188" s="38">
        <f t="shared" si="31"/>
        <v>-69408</v>
      </c>
      <c r="E188" s="38">
        <f t="shared" si="32"/>
        <v>2960</v>
      </c>
      <c r="F188" s="38">
        <f t="shared" si="33"/>
        <v>26789</v>
      </c>
      <c r="G188" s="38">
        <f t="shared" si="34"/>
        <v>7837</v>
      </c>
      <c r="I188" s="41"/>
      <c r="K188" s="40">
        <f>ROUND(VLOOKUP($A188,'Contribution Allocation_Report'!$A$9:$D$314,4,FALSE)*$K$321,0)</f>
        <v>-188986</v>
      </c>
      <c r="L188" s="40">
        <f>ROUND(VLOOKUP($A188,'Contribution Allocation_Report'!$A$9:$D$314,4,FALSE)*$L$321,0)</f>
        <v>-127415</v>
      </c>
      <c r="M188" s="40">
        <f>ROUND(VLOOKUP($A188,'Contribution Allocation_Report'!$A$9:$D$314,4,FALSE)*$M$321,0)</f>
        <v>-40869</v>
      </c>
      <c r="N188" s="40">
        <f>ROUND(VLOOKUP($A188,'Contribution Allocation_Report'!$A$9:$D$314,4,FALSE)*$N$321,0)</f>
        <v>1682</v>
      </c>
      <c r="O188" s="40">
        <f>ROUND(VLOOKUP($A188,'Contribution Allocation_Report'!$A$9:$D$314,4,FALSE)*$O$321,0)</f>
        <v>-4541</v>
      </c>
      <c r="Q188" s="40">
        <f>+VLOOKUP(A188,'Change in Proportion Layers'!$AK$8:$AP$318,2,FALSE)+K188</f>
        <v>-103448</v>
      </c>
      <c r="R188" s="40">
        <f>+VLOOKUP(A188,'Change in Proportion Layers'!$AK$8:$AP$318,3,FALSE)+L188</f>
        <v>-69408</v>
      </c>
      <c r="S188" s="40">
        <f>+VLOOKUP(A188,'Change in Proportion Layers'!$AK$8:$AP$318,4,FALSE)+M188</f>
        <v>2960</v>
      </c>
      <c r="T188" s="40">
        <f>+VLOOKUP(A188,'Change in Proportion Layers'!$AK$8:$AP$318,5,FALSE)+N188</f>
        <v>26789</v>
      </c>
      <c r="U188" s="40">
        <f>+VLOOKUP(A188,'Change in Proportion Layers'!$AK$8:$AP$318,6,FALSE)+O188+1</f>
        <v>7837</v>
      </c>
      <c r="W188" s="40">
        <f>('OPEB Amounts_Report'!G188-'OPEB Amounts_Report'!M188)</f>
        <v>-135270</v>
      </c>
      <c r="X188" s="109">
        <f t="shared" si="29"/>
        <v>0</v>
      </c>
    </row>
    <row r="189" spans="1:24">
      <c r="A189" s="22">
        <v>1094</v>
      </c>
      <c r="B189" s="23" t="s">
        <v>174</v>
      </c>
      <c r="C189" s="37">
        <f t="shared" si="30"/>
        <v>-1084526</v>
      </c>
      <c r="D189" s="37">
        <f t="shared" si="31"/>
        <v>-715339</v>
      </c>
      <c r="E189" s="37">
        <f t="shared" si="32"/>
        <v>-255527</v>
      </c>
      <c r="F189" s="37">
        <f t="shared" si="33"/>
        <v>-5437</v>
      </c>
      <c r="G189" s="37">
        <f t="shared" si="34"/>
        <v>-19192</v>
      </c>
      <c r="I189" s="41"/>
      <c r="K189" s="40">
        <f>ROUND(VLOOKUP($A189,'Contribution Allocation_Report'!$A$9:$D$314,4,FALSE)*$K$321,0)</f>
        <v>-774211</v>
      </c>
      <c r="L189" s="40">
        <f>ROUND(VLOOKUP($A189,'Contribution Allocation_Report'!$A$9:$D$314,4,FALSE)*$L$321,0)</f>
        <v>-521977</v>
      </c>
      <c r="M189" s="40">
        <f>ROUND(VLOOKUP($A189,'Contribution Allocation_Report'!$A$9:$D$314,4,FALSE)*$M$321,0)</f>
        <v>-167424</v>
      </c>
      <c r="N189" s="40">
        <f>ROUND(VLOOKUP($A189,'Contribution Allocation_Report'!$A$9:$D$314,4,FALSE)*$N$321,0)</f>
        <v>6892</v>
      </c>
      <c r="O189" s="40">
        <f>ROUND(VLOOKUP($A189,'Contribution Allocation_Report'!$A$9:$D$314,4,FALSE)*$O$321,0)</f>
        <v>-18602</v>
      </c>
      <c r="Q189" s="40">
        <f>+VLOOKUP(A189,'Change in Proportion Layers'!$AK$8:$AP$318,2,FALSE)+K189</f>
        <v>-1084526</v>
      </c>
      <c r="R189" s="40">
        <f>+VLOOKUP(A189,'Change in Proportion Layers'!$AK$8:$AP$318,3,FALSE)+L189</f>
        <v>-715339</v>
      </c>
      <c r="S189" s="40">
        <f>+VLOOKUP(A189,'Change in Proportion Layers'!$AK$8:$AP$318,4,FALSE)+M189</f>
        <v>-255527</v>
      </c>
      <c r="T189" s="40">
        <f>+VLOOKUP(A189,'Change in Proportion Layers'!$AK$8:$AP$318,5,FALSE)+N189</f>
        <v>-5437</v>
      </c>
      <c r="U189" s="40">
        <f>+VLOOKUP(A189,'Change in Proportion Layers'!$AK$8:$AP$318,6,FALSE)+O189+1</f>
        <v>-19192</v>
      </c>
      <c r="W189" s="40">
        <f>('OPEB Amounts_Report'!G189-'OPEB Amounts_Report'!M189)</f>
        <v>-2080021</v>
      </c>
      <c r="X189" s="109">
        <f t="shared" si="29"/>
        <v>0</v>
      </c>
    </row>
    <row r="190" spans="1:24">
      <c r="A190" s="24">
        <v>15104</v>
      </c>
      <c r="B190" s="3" t="s">
        <v>175</v>
      </c>
      <c r="C190" s="38">
        <f t="shared" si="30"/>
        <v>-886215</v>
      </c>
      <c r="D190" s="38">
        <f t="shared" si="31"/>
        <v>-571807</v>
      </c>
      <c r="E190" s="38">
        <f t="shared" si="32"/>
        <v>-242430</v>
      </c>
      <c r="F190" s="38">
        <f t="shared" si="33"/>
        <v>-55831</v>
      </c>
      <c r="G190" s="38">
        <f t="shared" si="34"/>
        <v>-39337</v>
      </c>
      <c r="I190" s="41"/>
      <c r="K190" s="40">
        <f>ROUND(VLOOKUP($A190,'Contribution Allocation_Report'!$A$9:$D$314,4,FALSE)*$K$321,0)</f>
        <v>-783421</v>
      </c>
      <c r="L190" s="40">
        <f>ROUND(VLOOKUP($A190,'Contribution Allocation_Report'!$A$9:$D$314,4,FALSE)*$L$321,0)</f>
        <v>-528186</v>
      </c>
      <c r="M190" s="40">
        <f>ROUND(VLOOKUP($A190,'Contribution Allocation_Report'!$A$9:$D$314,4,FALSE)*$M$321,0)</f>
        <v>-169416</v>
      </c>
      <c r="N190" s="40">
        <f>ROUND(VLOOKUP($A190,'Contribution Allocation_Report'!$A$9:$D$314,4,FALSE)*$N$321,0)</f>
        <v>6974</v>
      </c>
      <c r="O190" s="40">
        <f>ROUND(VLOOKUP($A190,'Contribution Allocation_Report'!$A$9:$D$314,4,FALSE)*$O$321,0)</f>
        <v>-18823</v>
      </c>
      <c r="Q190" s="40">
        <f>+VLOOKUP(A190,'Change in Proportion Layers'!$AK$8:$AP$318,2,FALSE)+K190</f>
        <v>-886215</v>
      </c>
      <c r="R190" s="40">
        <f>+VLOOKUP(A190,'Change in Proportion Layers'!$AK$8:$AP$318,3,FALSE)+L190</f>
        <v>-571807</v>
      </c>
      <c r="S190" s="40">
        <f>+VLOOKUP(A190,'Change in Proportion Layers'!$AK$8:$AP$318,4,FALSE)+M190</f>
        <v>-242430</v>
      </c>
      <c r="T190" s="40">
        <f>+VLOOKUP(A190,'Change in Proportion Layers'!$AK$8:$AP$318,5,FALSE)+N190</f>
        <v>-55831</v>
      </c>
      <c r="U190" s="40">
        <f>+VLOOKUP(A190,'Change in Proportion Layers'!$AK$8:$AP$318,6,FALSE)+O190+1</f>
        <v>-39337</v>
      </c>
      <c r="W190" s="40">
        <f>('OPEB Amounts_Report'!G190-'OPEB Amounts_Report'!M190)</f>
        <v>-1795620</v>
      </c>
      <c r="X190" s="109">
        <f t="shared" si="29"/>
        <v>0</v>
      </c>
    </row>
    <row r="191" spans="1:24">
      <c r="A191" s="22">
        <v>2520</v>
      </c>
      <c r="B191" s="23" t="s">
        <v>176</v>
      </c>
      <c r="C191" s="37">
        <f t="shared" si="30"/>
        <v>-65616</v>
      </c>
      <c r="D191" s="37">
        <f t="shared" si="31"/>
        <v>-45363</v>
      </c>
      <c r="E191" s="37">
        <f t="shared" si="32"/>
        <v>6979</v>
      </c>
      <c r="F191" s="37">
        <f t="shared" si="33"/>
        <v>42848</v>
      </c>
      <c r="G191" s="37">
        <f t="shared" si="34"/>
        <v>10797</v>
      </c>
      <c r="I191" s="41"/>
      <c r="K191" s="40">
        <f>ROUND(VLOOKUP($A191,'Contribution Allocation_Report'!$A$9:$D$314,4,FALSE)*$K$321,0)</f>
        <v>-159824</v>
      </c>
      <c r="L191" s="40">
        <f>ROUND(VLOOKUP($A191,'Contribution Allocation_Report'!$A$9:$D$314,4,FALSE)*$L$321,0)</f>
        <v>-107754</v>
      </c>
      <c r="M191" s="40">
        <f>ROUND(VLOOKUP($A191,'Contribution Allocation_Report'!$A$9:$D$314,4,FALSE)*$M$321,0)</f>
        <v>-34562</v>
      </c>
      <c r="N191" s="40">
        <f>ROUND(VLOOKUP($A191,'Contribution Allocation_Report'!$A$9:$D$314,4,FALSE)*$N$321,0)</f>
        <v>1423</v>
      </c>
      <c r="O191" s="40">
        <f>ROUND(VLOOKUP($A191,'Contribution Allocation_Report'!$A$9:$D$314,4,FALSE)*$O$321,0)</f>
        <v>-3840</v>
      </c>
      <c r="Q191" s="40">
        <f>+VLOOKUP(A191,'Change in Proportion Layers'!$AK$8:$AP$318,2,FALSE)+K191</f>
        <v>-65616</v>
      </c>
      <c r="R191" s="40">
        <f>+VLOOKUP(A191,'Change in Proportion Layers'!$AK$8:$AP$318,3,FALSE)+L191</f>
        <v>-45363</v>
      </c>
      <c r="S191" s="40">
        <f>+VLOOKUP(A191,'Change in Proportion Layers'!$AK$8:$AP$318,4,FALSE)+M191</f>
        <v>6979</v>
      </c>
      <c r="T191" s="40">
        <f>+VLOOKUP(A191,'Change in Proportion Layers'!$AK$8:$AP$318,5,FALSE)+N191</f>
        <v>42848</v>
      </c>
      <c r="U191" s="40">
        <f>+VLOOKUP(A191,'Change in Proportion Layers'!$AK$8:$AP$318,6,FALSE)+O191+1</f>
        <v>10797</v>
      </c>
      <c r="W191" s="40">
        <f>('OPEB Amounts_Report'!G191-'OPEB Amounts_Report'!M191)</f>
        <v>-50355</v>
      </c>
      <c r="X191" s="109">
        <f t="shared" si="29"/>
        <v>0</v>
      </c>
    </row>
    <row r="192" spans="1:24">
      <c r="A192" s="24">
        <v>3450</v>
      </c>
      <c r="B192" s="3" t="s">
        <v>177</v>
      </c>
      <c r="C192" s="38">
        <f t="shared" si="30"/>
        <v>-219144</v>
      </c>
      <c r="D192" s="38">
        <f t="shared" si="31"/>
        <v>-126667</v>
      </c>
      <c r="E192" s="38">
        <f t="shared" si="32"/>
        <v>14075</v>
      </c>
      <c r="F192" s="38">
        <f t="shared" si="33"/>
        <v>76958</v>
      </c>
      <c r="G192" s="38">
        <f t="shared" si="34"/>
        <v>26677</v>
      </c>
      <c r="I192" s="41"/>
      <c r="K192" s="40">
        <f>ROUND(VLOOKUP($A192,'Contribution Allocation_Report'!$A$9:$D$314,4,FALSE)*$K$321,0)</f>
        <v>-288654</v>
      </c>
      <c r="L192" s="40">
        <f>ROUND(VLOOKUP($A192,'Contribution Allocation_Report'!$A$9:$D$314,4,FALSE)*$L$321,0)</f>
        <v>-194612</v>
      </c>
      <c r="M192" s="40">
        <f>ROUND(VLOOKUP($A192,'Contribution Allocation_Report'!$A$9:$D$314,4,FALSE)*$M$321,0)</f>
        <v>-62422</v>
      </c>
      <c r="N192" s="40">
        <f>ROUND(VLOOKUP($A192,'Contribution Allocation_Report'!$A$9:$D$314,4,FALSE)*$N$321,0)</f>
        <v>2570</v>
      </c>
      <c r="O192" s="40">
        <f>ROUND(VLOOKUP($A192,'Contribution Allocation_Report'!$A$9:$D$314,4,FALSE)*$O$321,0)</f>
        <v>-6935</v>
      </c>
      <c r="Q192" s="40">
        <f>+VLOOKUP(A192,'Change in Proportion Layers'!$AK$8:$AP$318,2,FALSE)+K192</f>
        <v>-219144</v>
      </c>
      <c r="R192" s="40">
        <f>+VLOOKUP(A192,'Change in Proportion Layers'!$AK$8:$AP$318,3,FALSE)+L192</f>
        <v>-126667</v>
      </c>
      <c r="S192" s="40">
        <f>+VLOOKUP(A192,'Change in Proportion Layers'!$AK$8:$AP$318,4,FALSE)+M192</f>
        <v>14075</v>
      </c>
      <c r="T192" s="40">
        <f>+VLOOKUP(A192,'Change in Proportion Layers'!$AK$8:$AP$318,5,FALSE)+N192</f>
        <v>76958</v>
      </c>
      <c r="U192" s="40">
        <f>+VLOOKUP(A192,'Change in Proportion Layers'!$AK$8:$AP$318,6,FALSE)+O192-2</f>
        <v>26677</v>
      </c>
      <c r="W192" s="40">
        <f>('OPEB Amounts_Report'!G192-'OPEB Amounts_Report'!M192)</f>
        <v>-228101</v>
      </c>
      <c r="X192" s="109">
        <f t="shared" si="29"/>
        <v>0</v>
      </c>
    </row>
    <row r="193" spans="1:24">
      <c r="A193" s="22">
        <v>4310</v>
      </c>
      <c r="B193" s="23" t="s">
        <v>178</v>
      </c>
      <c r="C193" s="37">
        <f t="shared" si="30"/>
        <v>-163641</v>
      </c>
      <c r="D193" s="37">
        <f t="shared" si="31"/>
        <v>-98924</v>
      </c>
      <c r="E193" s="37">
        <f t="shared" si="32"/>
        <v>-12260</v>
      </c>
      <c r="F193" s="37">
        <f t="shared" si="33"/>
        <v>41582</v>
      </c>
      <c r="G193" s="37">
        <f t="shared" si="34"/>
        <v>9983</v>
      </c>
      <c r="I193" s="41"/>
      <c r="K193" s="40">
        <f>ROUND(VLOOKUP($A193,'Contribution Allocation_Report'!$A$9:$D$314,4,FALSE)*$K$321,0)</f>
        <v>-134556</v>
      </c>
      <c r="L193" s="40">
        <f>ROUND(VLOOKUP($A193,'Contribution Allocation_Report'!$A$9:$D$314,4,FALSE)*$L$321,0)</f>
        <v>-90718</v>
      </c>
      <c r="M193" s="40">
        <f>ROUND(VLOOKUP($A193,'Contribution Allocation_Report'!$A$9:$D$314,4,FALSE)*$M$321,0)</f>
        <v>-29098</v>
      </c>
      <c r="N193" s="40">
        <f>ROUND(VLOOKUP($A193,'Contribution Allocation_Report'!$A$9:$D$314,4,FALSE)*$N$321,0)</f>
        <v>1198</v>
      </c>
      <c r="O193" s="40">
        <f>ROUND(VLOOKUP($A193,'Contribution Allocation_Report'!$A$9:$D$314,4,FALSE)*$O$321,0)</f>
        <v>-3233</v>
      </c>
      <c r="Q193" s="40">
        <f>+VLOOKUP(A193,'Change in Proportion Layers'!$AK$8:$AP$318,2,FALSE)+K193</f>
        <v>-163641</v>
      </c>
      <c r="R193" s="40">
        <f>+VLOOKUP(A193,'Change in Proportion Layers'!$AK$8:$AP$318,3,FALSE)+L193</f>
        <v>-98924</v>
      </c>
      <c r="S193" s="40">
        <f>+VLOOKUP(A193,'Change in Proportion Layers'!$AK$8:$AP$318,4,FALSE)+M193</f>
        <v>-12260</v>
      </c>
      <c r="T193" s="40">
        <f>+VLOOKUP(A193,'Change in Proportion Layers'!$AK$8:$AP$318,5,FALSE)+N193</f>
        <v>41582</v>
      </c>
      <c r="U193" s="40">
        <f>+VLOOKUP(A193,'Change in Proportion Layers'!$AK$8:$AP$318,6,FALSE)+O193-2</f>
        <v>9983</v>
      </c>
      <c r="W193" s="40">
        <f>('OPEB Amounts_Report'!G193-'OPEB Amounts_Report'!M193)</f>
        <v>-223260</v>
      </c>
      <c r="X193" s="109">
        <f t="shared" si="29"/>
        <v>0</v>
      </c>
    </row>
    <row r="194" spans="1:24">
      <c r="A194" s="24">
        <v>2328</v>
      </c>
      <c r="B194" s="3" t="s">
        <v>179</v>
      </c>
      <c r="C194" s="38">
        <f t="shared" si="30"/>
        <v>-213334</v>
      </c>
      <c r="D194" s="38">
        <f t="shared" si="31"/>
        <v>-195527</v>
      </c>
      <c r="E194" s="38">
        <f t="shared" si="32"/>
        <v>-150465</v>
      </c>
      <c r="F194" s="38">
        <f t="shared" si="33"/>
        <v>-108139</v>
      </c>
      <c r="G194" s="38">
        <f t="shared" si="34"/>
        <v>-47568</v>
      </c>
      <c r="I194" s="41"/>
      <c r="K194" s="40">
        <f>ROUND(VLOOKUP($A194,'Contribution Allocation_Report'!$A$9:$D$314,4,FALSE)*$K$321,0)</f>
        <v>-126046</v>
      </c>
      <c r="L194" s="40">
        <f>ROUND(VLOOKUP($A194,'Contribution Allocation_Report'!$A$9:$D$314,4,FALSE)*$L$321,0)</f>
        <v>-84981</v>
      </c>
      <c r="M194" s="40">
        <f>ROUND(VLOOKUP($A194,'Contribution Allocation_Report'!$A$9:$D$314,4,FALSE)*$M$321,0)</f>
        <v>-27258</v>
      </c>
      <c r="N194" s="40">
        <f>ROUND(VLOOKUP($A194,'Contribution Allocation_Report'!$A$9:$D$314,4,FALSE)*$N$321,0)</f>
        <v>1122</v>
      </c>
      <c r="O194" s="40">
        <f>ROUND(VLOOKUP($A194,'Contribution Allocation_Report'!$A$9:$D$314,4,FALSE)*$O$321,0)</f>
        <v>-3028</v>
      </c>
      <c r="Q194" s="40">
        <f>+VLOOKUP(A194,'Change in Proportion Layers'!$AK$8:$AP$318,2,FALSE)+K194</f>
        <v>-213334</v>
      </c>
      <c r="R194" s="40">
        <f>+VLOOKUP(A194,'Change in Proportion Layers'!$AK$8:$AP$318,3,FALSE)+L194</f>
        <v>-195527</v>
      </c>
      <c r="S194" s="40">
        <f>+VLOOKUP(A194,'Change in Proportion Layers'!$AK$8:$AP$318,4,FALSE)+M194</f>
        <v>-150465</v>
      </c>
      <c r="T194" s="40">
        <f>+VLOOKUP(A194,'Change in Proportion Layers'!$AK$8:$AP$318,5,FALSE)+N194</f>
        <v>-108139</v>
      </c>
      <c r="U194" s="40">
        <f>+VLOOKUP(A194,'Change in Proportion Layers'!$AK$8:$AP$318,6,FALSE)+O194+1</f>
        <v>-47568</v>
      </c>
      <c r="W194" s="40">
        <f>('OPEB Amounts_Report'!G194-'OPEB Amounts_Report'!M194)</f>
        <v>-715033</v>
      </c>
      <c r="X194" s="109">
        <f t="shared" si="29"/>
        <v>0</v>
      </c>
    </row>
    <row r="195" spans="1:24">
      <c r="A195" s="22">
        <v>12151</v>
      </c>
      <c r="B195" s="23" t="s">
        <v>180</v>
      </c>
      <c r="C195" s="37">
        <f t="shared" si="30"/>
        <v>-65458</v>
      </c>
      <c r="D195" s="37">
        <f t="shared" si="31"/>
        <v>-51544</v>
      </c>
      <c r="E195" s="37">
        <f t="shared" si="32"/>
        <v>-14019</v>
      </c>
      <c r="F195" s="37">
        <f t="shared" si="33"/>
        <v>-1841</v>
      </c>
      <c r="G195" s="37">
        <f t="shared" si="34"/>
        <v>-18531</v>
      </c>
      <c r="I195" s="41"/>
      <c r="K195" s="40">
        <f>ROUND(VLOOKUP($A195,'Contribution Allocation_Report'!$A$9:$D$314,4,FALSE)*$K$321,0)</f>
        <v>-63309</v>
      </c>
      <c r="L195" s="40">
        <f>ROUND(VLOOKUP($A195,'Contribution Allocation_Report'!$A$9:$D$314,4,FALSE)*$L$321,0)</f>
        <v>-42684</v>
      </c>
      <c r="M195" s="40">
        <f>ROUND(VLOOKUP($A195,'Contribution Allocation_Report'!$A$9:$D$314,4,FALSE)*$M$321,0)</f>
        <v>-13691</v>
      </c>
      <c r="N195" s="40">
        <f>ROUND(VLOOKUP($A195,'Contribution Allocation_Report'!$A$9:$D$314,4,FALSE)*$N$321,0)</f>
        <v>564</v>
      </c>
      <c r="O195" s="40">
        <f>ROUND(VLOOKUP($A195,'Contribution Allocation_Report'!$A$9:$D$314,4,FALSE)*$O$321,0)</f>
        <v>-1521</v>
      </c>
      <c r="Q195" s="40">
        <f>+VLOOKUP(A195,'Change in Proportion Layers'!$AK$8:$AP$318,2,FALSE)+K195</f>
        <v>-65458</v>
      </c>
      <c r="R195" s="40">
        <f>+VLOOKUP(A195,'Change in Proportion Layers'!$AK$8:$AP$318,3,FALSE)+L195</f>
        <v>-51544</v>
      </c>
      <c r="S195" s="40">
        <f>+VLOOKUP(A195,'Change in Proportion Layers'!$AK$8:$AP$318,4,FALSE)+M195</f>
        <v>-14019</v>
      </c>
      <c r="T195" s="40">
        <f>+VLOOKUP(A195,'Change in Proportion Layers'!$AK$8:$AP$318,5,FALSE)+N195</f>
        <v>-1841</v>
      </c>
      <c r="U195" s="40">
        <f>+VLOOKUP(A195,'Change in Proportion Layers'!$AK$8:$AP$318,6,FALSE)+O195-1</f>
        <v>-18531</v>
      </c>
      <c r="W195" s="40">
        <f>('OPEB Amounts_Report'!G195-'OPEB Amounts_Report'!M195)</f>
        <v>-151393</v>
      </c>
      <c r="X195" s="109">
        <f t="shared" si="29"/>
        <v>0</v>
      </c>
    </row>
    <row r="196" spans="1:24">
      <c r="A196" s="24">
        <v>17105</v>
      </c>
      <c r="B196" s="3" t="s">
        <v>476</v>
      </c>
      <c r="C196" s="38">
        <f>+Q196</f>
        <v>-724824</v>
      </c>
      <c r="D196" s="38">
        <f t="shared" si="31"/>
        <v>-537153</v>
      </c>
      <c r="E196" s="38">
        <f t="shared" si="32"/>
        <v>-94830</v>
      </c>
      <c r="F196" s="38">
        <f t="shared" si="33"/>
        <v>59883</v>
      </c>
      <c r="G196" s="38">
        <f t="shared" si="34"/>
        <v>8888</v>
      </c>
      <c r="I196" s="41"/>
      <c r="K196" s="40">
        <f>ROUND(VLOOKUP($A196,'Contribution Allocation_Report'!$A$9:$D$314,4,FALSE)*$K$321,0)</f>
        <v>-864093</v>
      </c>
      <c r="L196" s="40">
        <f>ROUND(VLOOKUP($A196,'Contribution Allocation_Report'!$A$9:$D$314,4,FALSE)*$L$321,0)</f>
        <v>-582576</v>
      </c>
      <c r="M196" s="40">
        <f>ROUND(VLOOKUP($A196,'Contribution Allocation_Report'!$A$9:$D$314,4,FALSE)*$M$321,0)</f>
        <v>-186861</v>
      </c>
      <c r="N196" s="40">
        <f>ROUND(VLOOKUP($A196,'Contribution Allocation_Report'!$A$9:$D$314,4,FALSE)*$N$321,0)</f>
        <v>7692</v>
      </c>
      <c r="O196" s="40">
        <f>ROUND(VLOOKUP($A196,'Contribution Allocation_Report'!$A$9:$D$314,4,FALSE)*$O$321,0)</f>
        <v>-20761</v>
      </c>
      <c r="Q196" s="40">
        <f>+VLOOKUP(A196,'Change in Proportion Layers'!$AK$8:$AP$318,2,FALSE)+K196</f>
        <v>-724824</v>
      </c>
      <c r="R196" s="40">
        <f>+VLOOKUP(A196,'Change in Proportion Layers'!$AK$8:$AP$318,3,FALSE)+L196</f>
        <v>-537153</v>
      </c>
      <c r="S196" s="40">
        <f>+VLOOKUP(A196,'Change in Proportion Layers'!$AK$8:$AP$318,4,FALSE)+M196</f>
        <v>-94830</v>
      </c>
      <c r="T196" s="40">
        <f>+VLOOKUP(A196,'Change in Proportion Layers'!$AK$8:$AP$318,5,FALSE)+N196</f>
        <v>59883</v>
      </c>
      <c r="U196" s="40">
        <f>+VLOOKUP(A196,'Change in Proportion Layers'!$AK$8:$AP$318,6,FALSE)+O196</f>
        <v>8888</v>
      </c>
      <c r="W196" s="40">
        <f>('OPEB Amounts_Report'!G196-'OPEB Amounts_Report'!M196)</f>
        <v>-1288036</v>
      </c>
      <c r="X196" s="109">
        <f t="shared" si="29"/>
        <v>0</v>
      </c>
    </row>
    <row r="197" spans="1:24">
      <c r="A197" s="22">
        <v>4215</v>
      </c>
      <c r="B197" s="23" t="s">
        <v>446</v>
      </c>
      <c r="C197" s="37">
        <f t="shared" ref="C197" si="35">+Q197</f>
        <v>13662</v>
      </c>
      <c r="D197" s="37">
        <f t="shared" si="31"/>
        <v>84090</v>
      </c>
      <c r="E197" s="37">
        <f t="shared" si="32"/>
        <v>125797</v>
      </c>
      <c r="F197" s="37">
        <f t="shared" si="33"/>
        <v>-24729</v>
      </c>
      <c r="G197" s="37">
        <f t="shared" si="34"/>
        <v>-10304</v>
      </c>
      <c r="I197" s="41"/>
      <c r="K197" s="40">
        <f>ROUND(VLOOKUP($A197,'Contribution Allocation_Report'!$A$9:$D$314,4,FALSE)*$K$321,0)</f>
        <v>-105424</v>
      </c>
      <c r="L197" s="40">
        <f>ROUND(VLOOKUP($A197,'Contribution Allocation_Report'!$A$9:$D$314,4,FALSE)*$L$321,0)</f>
        <v>-71077</v>
      </c>
      <c r="M197" s="40">
        <f>ROUND(VLOOKUP($A197,'Contribution Allocation_Report'!$A$9:$D$314,4,FALSE)*$M$321,0)</f>
        <v>-22798</v>
      </c>
      <c r="N197" s="40">
        <f>ROUND(VLOOKUP($A197,'Contribution Allocation_Report'!$A$9:$D$314,4,FALSE)*$N$321,0)</f>
        <v>938</v>
      </c>
      <c r="O197" s="40">
        <f>ROUND(VLOOKUP($A197,'Contribution Allocation_Report'!$A$9:$D$314,4,FALSE)*$O$321,0)</f>
        <v>-2533</v>
      </c>
      <c r="Q197" s="40">
        <f>+VLOOKUP(A197,'Change in Proportion Layers'!$AK$8:$AP$318,2,FALSE)+K197</f>
        <v>13662</v>
      </c>
      <c r="R197" s="40">
        <f>+VLOOKUP(A197,'Change in Proportion Layers'!$AK$8:$AP$318,3,FALSE)+L197</f>
        <v>84090</v>
      </c>
      <c r="S197" s="40">
        <f>+VLOOKUP(A197,'Change in Proportion Layers'!$AK$8:$AP$318,4,FALSE)+M197</f>
        <v>125797</v>
      </c>
      <c r="T197" s="40">
        <f>+VLOOKUP(A197,'Change in Proportion Layers'!$AK$8:$AP$318,5,FALSE)+N197</f>
        <v>-24729</v>
      </c>
      <c r="U197" s="40">
        <f>+VLOOKUP(A197,'Change in Proportion Layers'!$AK$8:$AP$318,6,FALSE)+O197+1</f>
        <v>-10304</v>
      </c>
      <c r="W197" s="40">
        <f>('OPEB Amounts_Report'!G197-'OPEB Amounts_Report'!M197)</f>
        <v>188516</v>
      </c>
      <c r="X197" s="109">
        <f t="shared" ref="X197:X212" si="36">SUM(Q197:U197)-W197</f>
        <v>0</v>
      </c>
    </row>
    <row r="198" spans="1:24">
      <c r="A198" s="24" t="s">
        <v>785</v>
      </c>
      <c r="B198" s="3" t="s">
        <v>784</v>
      </c>
      <c r="C198" s="38">
        <f t="shared" ref="C198" si="37">+Q198</f>
        <v>-98904</v>
      </c>
      <c r="D198" s="38">
        <f t="shared" ref="D198" si="38">+R198</f>
        <v>-76129</v>
      </c>
      <c r="E198" s="38">
        <f t="shared" ref="E198" si="39">+S198</f>
        <v>-38020</v>
      </c>
      <c r="F198" s="38">
        <f t="shared" ref="F198" si="40">+T198</f>
        <v>-39962</v>
      </c>
      <c r="G198" s="38">
        <f t="shared" ref="G198" si="41">+U198</f>
        <v>-4758</v>
      </c>
      <c r="I198" s="41"/>
      <c r="K198" s="40">
        <f>ROUND(VLOOKUP($A198,'Contribution Allocation_Report'!$A$9:$D$314,4,FALSE)*$K$321,0)</f>
        <v>-67808</v>
      </c>
      <c r="L198" s="40">
        <f>ROUND(VLOOKUP($A198,'Contribution Allocation_Report'!$A$9:$D$314,4,FALSE)*$L$321,0)</f>
        <v>-45716</v>
      </c>
      <c r="M198" s="40">
        <f>ROUND(VLOOKUP($A198,'Contribution Allocation_Report'!$A$9:$D$314,4,FALSE)*$M$321,0)</f>
        <v>-14664</v>
      </c>
      <c r="N198" s="40">
        <f>ROUND(VLOOKUP($A198,'Contribution Allocation_Report'!$A$9:$D$314,4,FALSE)*$N$321,0)</f>
        <v>604</v>
      </c>
      <c r="O198" s="40">
        <f>ROUND(VLOOKUP($A198,'Contribution Allocation_Report'!$A$9:$D$314,4,FALSE)*$O$321,0)</f>
        <v>-1629</v>
      </c>
      <c r="Q198" s="40">
        <f>+VLOOKUP(A198,'Change in Proportion Layers'!$AK$8:$AP$318,2,FALSE)+K198</f>
        <v>-98904</v>
      </c>
      <c r="R198" s="40">
        <f>+VLOOKUP(A198,'Change in Proportion Layers'!$AK$8:$AP$318,3,FALSE)+L198</f>
        <v>-76129</v>
      </c>
      <c r="S198" s="40">
        <f>+VLOOKUP(A198,'Change in Proportion Layers'!$AK$8:$AP$318,4,FALSE)+M198</f>
        <v>-38020</v>
      </c>
      <c r="T198" s="40">
        <f>+VLOOKUP(A198,'Change in Proportion Layers'!$AK$8:$AP$318,5,FALSE)+N198</f>
        <v>-39962</v>
      </c>
      <c r="U198" s="40">
        <f>+VLOOKUP(A198,'Change in Proportion Layers'!$AK$8:$AP$318,6,FALSE)+O198</f>
        <v>-4758</v>
      </c>
      <c r="W198" s="40">
        <f>('OPEB Amounts_Report'!G198-'OPEB Amounts_Report'!M198)</f>
        <v>-257773</v>
      </c>
      <c r="X198" s="109">
        <f t="shared" ref="X198" si="42">SUM(Q198:U198)-W198</f>
        <v>0</v>
      </c>
    </row>
    <row r="199" spans="1:24">
      <c r="A199" s="22">
        <v>2870</v>
      </c>
      <c r="B199" s="23" t="s">
        <v>183</v>
      </c>
      <c r="C199" s="37">
        <f t="shared" si="30"/>
        <v>-125967</v>
      </c>
      <c r="D199" s="37">
        <f t="shared" si="31"/>
        <v>-89259</v>
      </c>
      <c r="E199" s="37">
        <f t="shared" si="32"/>
        <v>-44229</v>
      </c>
      <c r="F199" s="37">
        <f t="shared" si="33"/>
        <v>-15396</v>
      </c>
      <c r="G199" s="37">
        <f t="shared" si="34"/>
        <v>-10394</v>
      </c>
      <c r="I199" s="41"/>
      <c r="K199" s="40">
        <f>ROUND(VLOOKUP($A199,'Contribution Allocation_Report'!$A$9:$D$314,4,FALSE)*$K$321,0)</f>
        <v>-124557</v>
      </c>
      <c r="L199" s="40">
        <f>ROUND(VLOOKUP($A199,'Contribution Allocation_Report'!$A$9:$D$314,4,FALSE)*$L$321,0)</f>
        <v>-83977</v>
      </c>
      <c r="M199" s="40">
        <f>ROUND(VLOOKUP($A199,'Contribution Allocation_Report'!$A$9:$D$314,4,FALSE)*$M$321,0)</f>
        <v>-26936</v>
      </c>
      <c r="N199" s="40">
        <f>ROUND(VLOOKUP($A199,'Contribution Allocation_Report'!$A$9:$D$314,4,FALSE)*$N$321,0)</f>
        <v>1109</v>
      </c>
      <c r="O199" s="40">
        <f>ROUND(VLOOKUP($A199,'Contribution Allocation_Report'!$A$9:$D$314,4,FALSE)*$O$321,0)</f>
        <v>-2993</v>
      </c>
      <c r="Q199" s="40">
        <f>+VLOOKUP(A199,'Change in Proportion Layers'!$AK$8:$AP$318,2,FALSE)+K199</f>
        <v>-125967</v>
      </c>
      <c r="R199" s="40">
        <f>+VLOOKUP(A199,'Change in Proportion Layers'!$AK$8:$AP$318,3,FALSE)+L199</f>
        <v>-89259</v>
      </c>
      <c r="S199" s="40">
        <f>+VLOOKUP(A199,'Change in Proportion Layers'!$AK$8:$AP$318,4,FALSE)+M199</f>
        <v>-44229</v>
      </c>
      <c r="T199" s="40">
        <f>+VLOOKUP(A199,'Change in Proportion Layers'!$AK$8:$AP$318,5,FALSE)+N199</f>
        <v>-15396</v>
      </c>
      <c r="U199" s="40">
        <f>+VLOOKUP(A199,'Change in Proportion Layers'!$AK$8:$AP$318,6,FALSE)+O199+1</f>
        <v>-10394</v>
      </c>
      <c r="W199" s="40">
        <f>('OPEB Amounts_Report'!G199-'OPEB Amounts_Report'!M199)</f>
        <v>-285245</v>
      </c>
      <c r="X199" s="109">
        <f t="shared" si="36"/>
        <v>0</v>
      </c>
    </row>
    <row r="200" spans="1:24">
      <c r="A200" s="24">
        <v>29150</v>
      </c>
      <c r="B200" s="3" t="s">
        <v>184</v>
      </c>
      <c r="C200" s="38">
        <f t="shared" si="30"/>
        <v>-47422</v>
      </c>
      <c r="D200" s="38">
        <f t="shared" si="31"/>
        <v>-6709</v>
      </c>
      <c r="E200" s="38">
        <f t="shared" si="32"/>
        <v>42500</v>
      </c>
      <c r="F200" s="38">
        <f t="shared" si="33"/>
        <v>63353</v>
      </c>
      <c r="G200" s="38">
        <f t="shared" si="34"/>
        <v>54807</v>
      </c>
      <c r="I200" s="41"/>
      <c r="K200" s="40">
        <f>ROUND(VLOOKUP($A200,'Contribution Allocation_Report'!$A$9:$D$314,4,FALSE)*$K$321,0)</f>
        <v>-89411</v>
      </c>
      <c r="L200" s="40">
        <f>ROUND(VLOOKUP($A200,'Contribution Allocation_Report'!$A$9:$D$314,4,FALSE)*$L$321,0)</f>
        <v>-60281</v>
      </c>
      <c r="M200" s="40">
        <f>ROUND(VLOOKUP($A200,'Contribution Allocation_Report'!$A$9:$D$314,4,FALSE)*$M$321,0)</f>
        <v>-19335</v>
      </c>
      <c r="N200" s="40">
        <f>ROUND(VLOOKUP($A200,'Contribution Allocation_Report'!$A$9:$D$314,4,FALSE)*$N$321,0)</f>
        <v>796</v>
      </c>
      <c r="O200" s="40">
        <f>ROUND(VLOOKUP($A200,'Contribution Allocation_Report'!$A$9:$D$314,4,FALSE)*$O$321,0)</f>
        <v>-2148</v>
      </c>
      <c r="Q200" s="40">
        <f>+VLOOKUP(A200,'Change in Proportion Layers'!$AK$8:$AP$318,2,FALSE)+K200</f>
        <v>-47422</v>
      </c>
      <c r="R200" s="40">
        <f>+VLOOKUP(A200,'Change in Proportion Layers'!$AK$8:$AP$318,3,FALSE)+L200</f>
        <v>-6709</v>
      </c>
      <c r="S200" s="40">
        <f>+VLOOKUP(A200,'Change in Proportion Layers'!$AK$8:$AP$318,4,FALSE)+M200</f>
        <v>42500</v>
      </c>
      <c r="T200" s="40">
        <f>+VLOOKUP(A200,'Change in Proportion Layers'!$AK$8:$AP$318,5,FALSE)+N200</f>
        <v>63353</v>
      </c>
      <c r="U200" s="40">
        <f>+VLOOKUP(A200,'Change in Proportion Layers'!$AK$8:$AP$318,6,FALSE)+O200-1</f>
        <v>54807</v>
      </c>
      <c r="W200" s="40">
        <f>('OPEB Amounts_Report'!G200-'OPEB Amounts_Report'!M200)</f>
        <v>106529</v>
      </c>
      <c r="X200" s="109">
        <f t="shared" si="36"/>
        <v>0</v>
      </c>
    </row>
    <row r="201" spans="1:24">
      <c r="A201" s="22">
        <v>3433</v>
      </c>
      <c r="B201" s="23" t="s">
        <v>477</v>
      </c>
      <c r="C201" s="37">
        <f t="shared" si="30"/>
        <v>81497</v>
      </c>
      <c r="D201" s="37">
        <f t="shared" si="31"/>
        <v>-56828</v>
      </c>
      <c r="E201" s="37">
        <f t="shared" si="32"/>
        <v>157326</v>
      </c>
      <c r="F201" s="37">
        <f t="shared" si="33"/>
        <v>166528</v>
      </c>
      <c r="G201" s="37">
        <f t="shared" si="34"/>
        <v>102280</v>
      </c>
      <c r="I201" s="41"/>
      <c r="K201" s="40">
        <f>ROUND(VLOOKUP($A201,'Contribution Allocation_Report'!$A$9:$D$314,4,FALSE)*$K$321,0)</f>
        <v>-657378</v>
      </c>
      <c r="L201" s="40">
        <f>ROUND(VLOOKUP($A201,'Contribution Allocation_Report'!$A$9:$D$314,4,FALSE)*$L$321,0)</f>
        <v>-443207</v>
      </c>
      <c r="M201" s="40">
        <f>ROUND(VLOOKUP($A201,'Contribution Allocation_Report'!$A$9:$D$314,4,FALSE)*$M$321,0)</f>
        <v>-142159</v>
      </c>
      <c r="N201" s="40">
        <f>ROUND(VLOOKUP($A201,'Contribution Allocation_Report'!$A$9:$D$314,4,FALSE)*$N$321,0)</f>
        <v>5852</v>
      </c>
      <c r="O201" s="40">
        <f>ROUND(VLOOKUP($A201,'Contribution Allocation_Report'!$A$9:$D$314,4,FALSE)*$O$321,0)</f>
        <v>-15794</v>
      </c>
      <c r="Q201" s="40">
        <f>+VLOOKUP(A201,'Change in Proportion Layers'!$AK$8:$AP$318,2,FALSE)+K201</f>
        <v>81497</v>
      </c>
      <c r="R201" s="40">
        <f>+VLOOKUP(A201,'Change in Proportion Layers'!$AK$8:$AP$318,3,FALSE)+L201</f>
        <v>-56828</v>
      </c>
      <c r="S201" s="40">
        <f>+VLOOKUP(A201,'Change in Proportion Layers'!$AK$8:$AP$318,4,FALSE)+M201</f>
        <v>157326</v>
      </c>
      <c r="T201" s="40">
        <f>+VLOOKUP(A201,'Change in Proportion Layers'!$AK$8:$AP$318,5,FALSE)+N201</f>
        <v>166528</v>
      </c>
      <c r="U201" s="40">
        <f>+VLOOKUP(A201,'Change in Proportion Layers'!$AK$8:$AP$318,6,FALSE)+O201</f>
        <v>102280</v>
      </c>
      <c r="W201" s="40">
        <f>('OPEB Amounts_Report'!G201-'OPEB Amounts_Report'!M201)</f>
        <v>450803</v>
      </c>
      <c r="X201" s="109">
        <f t="shared" si="36"/>
        <v>0</v>
      </c>
    </row>
    <row r="202" spans="1:24">
      <c r="A202" s="24">
        <v>12039</v>
      </c>
      <c r="B202" s="3" t="s">
        <v>187</v>
      </c>
      <c r="C202" s="38">
        <f t="shared" si="30"/>
        <v>-410590</v>
      </c>
      <c r="D202" s="38">
        <f t="shared" si="31"/>
        <v>-283086</v>
      </c>
      <c r="E202" s="38">
        <f t="shared" si="32"/>
        <v>-152132</v>
      </c>
      <c r="F202" s="38">
        <f t="shared" si="33"/>
        <v>-91348</v>
      </c>
      <c r="G202" s="38">
        <f t="shared" si="34"/>
        <v>-49729</v>
      </c>
      <c r="I202" s="41"/>
      <c r="K202" s="40">
        <f>ROUND(VLOOKUP($A202,'Contribution Allocation_Report'!$A$9:$D$314,4,FALSE)*$K$321,0)</f>
        <v>-278736</v>
      </c>
      <c r="L202" s="40">
        <f>ROUND(VLOOKUP($A202,'Contribution Allocation_Report'!$A$9:$D$314,4,FALSE)*$L$321,0)</f>
        <v>-187925</v>
      </c>
      <c r="M202" s="40">
        <f>ROUND(VLOOKUP($A202,'Contribution Allocation_Report'!$A$9:$D$314,4,FALSE)*$M$321,0)</f>
        <v>-60277</v>
      </c>
      <c r="N202" s="40">
        <f>ROUND(VLOOKUP($A202,'Contribution Allocation_Report'!$A$9:$D$314,4,FALSE)*$N$321,0)</f>
        <v>2481</v>
      </c>
      <c r="O202" s="40">
        <f>ROUND(VLOOKUP($A202,'Contribution Allocation_Report'!$A$9:$D$314,4,FALSE)*$O$321,0)</f>
        <v>-6697</v>
      </c>
      <c r="Q202" s="40">
        <f>+VLOOKUP(A202,'Change in Proportion Layers'!$AK$8:$AP$318,2,FALSE)+K202</f>
        <v>-410590</v>
      </c>
      <c r="R202" s="40">
        <f>+VLOOKUP(A202,'Change in Proportion Layers'!$AK$8:$AP$318,3,FALSE)+L202</f>
        <v>-283086</v>
      </c>
      <c r="S202" s="40">
        <f>+VLOOKUP(A202,'Change in Proportion Layers'!$AK$8:$AP$318,4,FALSE)+M202</f>
        <v>-152132</v>
      </c>
      <c r="T202" s="40">
        <f>+VLOOKUP(A202,'Change in Proportion Layers'!$AK$8:$AP$318,5,FALSE)+N202</f>
        <v>-91348</v>
      </c>
      <c r="U202" s="40">
        <f>+VLOOKUP(A202,'Change in Proportion Layers'!$AK$8:$AP$318,6,FALSE)+O202-1</f>
        <v>-49729</v>
      </c>
      <c r="W202" s="40">
        <f>('OPEB Amounts_Report'!G202-'OPEB Amounts_Report'!M202)</f>
        <v>-986885</v>
      </c>
      <c r="X202" s="109">
        <f t="shared" si="36"/>
        <v>0</v>
      </c>
    </row>
    <row r="203" spans="1:24">
      <c r="A203" s="22">
        <v>12150</v>
      </c>
      <c r="B203" s="23" t="s">
        <v>188</v>
      </c>
      <c r="C203" s="37">
        <f t="shared" si="30"/>
        <v>-88936</v>
      </c>
      <c r="D203" s="37">
        <f t="shared" si="31"/>
        <v>-55036</v>
      </c>
      <c r="E203" s="37">
        <f t="shared" si="32"/>
        <v>-25272</v>
      </c>
      <c r="F203" s="37">
        <f t="shared" si="33"/>
        <v>-15657</v>
      </c>
      <c r="G203" s="37">
        <f t="shared" si="34"/>
        <v>-4434</v>
      </c>
      <c r="I203" s="41"/>
      <c r="K203" s="40">
        <f>ROUND(VLOOKUP($A203,'Contribution Allocation_Report'!$A$9:$D$314,4,FALSE)*$K$321,0)</f>
        <v>-55693</v>
      </c>
      <c r="L203" s="40">
        <f>ROUND(VLOOKUP($A203,'Contribution Allocation_Report'!$A$9:$D$314,4,FALSE)*$L$321,0)</f>
        <v>-37549</v>
      </c>
      <c r="M203" s="40">
        <f>ROUND(VLOOKUP($A203,'Contribution Allocation_Report'!$A$9:$D$314,4,FALSE)*$M$321,0)</f>
        <v>-12044</v>
      </c>
      <c r="N203" s="40">
        <f>ROUND(VLOOKUP($A203,'Contribution Allocation_Report'!$A$9:$D$314,4,FALSE)*$N$321,0)</f>
        <v>496</v>
      </c>
      <c r="O203" s="40">
        <f>ROUND(VLOOKUP($A203,'Contribution Allocation_Report'!$A$9:$D$314,4,FALSE)*$O$321,0)</f>
        <v>-1338</v>
      </c>
      <c r="Q203" s="40">
        <f>+VLOOKUP(A203,'Change in Proportion Layers'!$AK$8:$AP$318,2,FALSE)+K203</f>
        <v>-88936</v>
      </c>
      <c r="R203" s="40">
        <f>+VLOOKUP(A203,'Change in Proportion Layers'!$AK$8:$AP$318,3,FALSE)+L203</f>
        <v>-55036</v>
      </c>
      <c r="S203" s="40">
        <f>+VLOOKUP(A203,'Change in Proportion Layers'!$AK$8:$AP$318,4,FALSE)+M203</f>
        <v>-25272</v>
      </c>
      <c r="T203" s="40">
        <f>+VLOOKUP(A203,'Change in Proportion Layers'!$AK$8:$AP$318,5,FALSE)+N203</f>
        <v>-15657</v>
      </c>
      <c r="U203" s="40">
        <f>+VLOOKUP(A203,'Change in Proportion Layers'!$AK$8:$AP$318,6,FALSE)+O203+1</f>
        <v>-4434</v>
      </c>
      <c r="W203" s="40">
        <f>('OPEB Amounts_Report'!G203-'OPEB Amounts_Report'!M203)</f>
        <v>-189335</v>
      </c>
      <c r="X203" s="109">
        <f t="shared" si="36"/>
        <v>0</v>
      </c>
    </row>
    <row r="204" spans="1:24">
      <c r="A204" s="24">
        <v>20060</v>
      </c>
      <c r="B204" s="3" t="s">
        <v>189</v>
      </c>
      <c r="C204" s="38">
        <f t="shared" si="30"/>
        <v>-274488</v>
      </c>
      <c r="D204" s="38">
        <f t="shared" si="31"/>
        <v>-179781</v>
      </c>
      <c r="E204" s="38">
        <f t="shared" si="32"/>
        <v>-102425</v>
      </c>
      <c r="F204" s="38">
        <f t="shared" si="33"/>
        <v>-44842</v>
      </c>
      <c r="G204" s="38">
        <f t="shared" si="34"/>
        <v>-18544</v>
      </c>
      <c r="I204" s="41"/>
      <c r="K204" s="40">
        <f>ROUND(VLOOKUP($A204,'Contribution Allocation_Report'!$A$9:$D$314,4,FALSE)*$K$321,0)</f>
        <v>-228412</v>
      </c>
      <c r="L204" s="40">
        <f>ROUND(VLOOKUP($A204,'Contribution Allocation_Report'!$A$9:$D$314,4,FALSE)*$L$321,0)</f>
        <v>-153996</v>
      </c>
      <c r="M204" s="40">
        <f>ROUND(VLOOKUP($A204,'Contribution Allocation_Report'!$A$9:$D$314,4,FALSE)*$M$321,0)</f>
        <v>-49394</v>
      </c>
      <c r="N204" s="40">
        <f>ROUND(VLOOKUP($A204,'Contribution Allocation_Report'!$A$9:$D$314,4,FALSE)*$N$321,0)</f>
        <v>2033</v>
      </c>
      <c r="O204" s="40">
        <f>ROUND(VLOOKUP($A204,'Contribution Allocation_Report'!$A$9:$D$314,4,FALSE)*$O$321,0)</f>
        <v>-5488</v>
      </c>
      <c r="Q204" s="40">
        <f>+VLOOKUP(A204,'Change in Proportion Layers'!$AK$8:$AP$318,2,FALSE)+K204</f>
        <v>-274488</v>
      </c>
      <c r="R204" s="40">
        <f>+VLOOKUP(A204,'Change in Proportion Layers'!$AK$8:$AP$318,3,FALSE)+L204</f>
        <v>-179781</v>
      </c>
      <c r="S204" s="40">
        <f>+VLOOKUP(A204,'Change in Proportion Layers'!$AK$8:$AP$318,4,FALSE)+M204</f>
        <v>-102425</v>
      </c>
      <c r="T204" s="40">
        <f>+VLOOKUP(A204,'Change in Proportion Layers'!$AK$8:$AP$318,5,FALSE)+N204</f>
        <v>-44842</v>
      </c>
      <c r="U204" s="40">
        <f>+VLOOKUP(A204,'Change in Proportion Layers'!$AK$8:$AP$318,6,FALSE)+O204+1</f>
        <v>-18544</v>
      </c>
      <c r="W204" s="40">
        <f>('OPEB Amounts_Report'!G204-'OPEB Amounts_Report'!M204)</f>
        <v>-620080</v>
      </c>
      <c r="X204" s="109">
        <f t="shared" si="36"/>
        <v>0</v>
      </c>
    </row>
    <row r="205" spans="1:24">
      <c r="A205" s="22">
        <v>1001</v>
      </c>
      <c r="B205" s="23" t="s">
        <v>190</v>
      </c>
      <c r="C205" s="37">
        <f t="shared" si="30"/>
        <v>-969208</v>
      </c>
      <c r="D205" s="37">
        <f t="shared" si="31"/>
        <v>-292274</v>
      </c>
      <c r="E205" s="37">
        <f t="shared" si="32"/>
        <v>-42995</v>
      </c>
      <c r="F205" s="37">
        <f t="shared" si="33"/>
        <v>36644</v>
      </c>
      <c r="G205" s="37">
        <f t="shared" si="34"/>
        <v>-52616</v>
      </c>
      <c r="I205" s="41"/>
      <c r="K205" s="40">
        <f>ROUND(VLOOKUP($A205,'Contribution Allocation_Report'!$A$9:$D$314,4,FALSE)*$K$321,0)</f>
        <v>-893262</v>
      </c>
      <c r="L205" s="40">
        <f>ROUND(VLOOKUP($A205,'Contribution Allocation_Report'!$A$9:$D$314,4,FALSE)*$L$321,0)</f>
        <v>-602241</v>
      </c>
      <c r="M205" s="40">
        <f>ROUND(VLOOKUP($A205,'Contribution Allocation_Report'!$A$9:$D$314,4,FALSE)*$M$321,0)</f>
        <v>-193169</v>
      </c>
      <c r="N205" s="40">
        <f>ROUND(VLOOKUP($A205,'Contribution Allocation_Report'!$A$9:$D$314,4,FALSE)*$N$321,0)</f>
        <v>7952</v>
      </c>
      <c r="O205" s="40">
        <f>ROUND(VLOOKUP($A205,'Contribution Allocation_Report'!$A$9:$D$314,4,FALSE)*$O$321,0)</f>
        <v>-21462</v>
      </c>
      <c r="Q205" s="40">
        <f>+VLOOKUP(A205,'Change in Proportion Layers'!$AK$8:$AP$318,2,FALSE)+K205</f>
        <v>-969208</v>
      </c>
      <c r="R205" s="40">
        <f>+VLOOKUP(A205,'Change in Proportion Layers'!$AK$8:$AP$318,3,FALSE)+L205</f>
        <v>-292274</v>
      </c>
      <c r="S205" s="40">
        <f>+VLOOKUP(A205,'Change in Proportion Layers'!$AK$8:$AP$318,4,FALSE)+M205</f>
        <v>-42995</v>
      </c>
      <c r="T205" s="40">
        <f>+VLOOKUP(A205,'Change in Proportion Layers'!$AK$8:$AP$318,5,FALSE)+N205</f>
        <v>36644</v>
      </c>
      <c r="U205" s="40">
        <f>+VLOOKUP(A205,'Change in Proportion Layers'!$AK$8:$AP$318,6,FALSE)+O205-1</f>
        <v>-52616</v>
      </c>
      <c r="W205" s="40">
        <f>('OPEB Amounts_Report'!G205-'OPEB Amounts_Report'!M205)</f>
        <v>-1320449</v>
      </c>
      <c r="X205" s="109">
        <f t="shared" si="36"/>
        <v>0</v>
      </c>
    </row>
    <row r="206" spans="1:24">
      <c r="A206" s="24">
        <v>11035</v>
      </c>
      <c r="B206" s="3" t="s">
        <v>191</v>
      </c>
      <c r="C206" s="38">
        <f t="shared" ref="C206:C272" si="43">+Q206</f>
        <v>-1503583</v>
      </c>
      <c r="D206" s="38">
        <f t="shared" ref="D206:D272" si="44">+R206</f>
        <v>-1108431</v>
      </c>
      <c r="E206" s="38">
        <f t="shared" ref="E206:E272" si="45">+S206</f>
        <v>-380073</v>
      </c>
      <c r="F206" s="38">
        <f t="shared" ref="F206:F272" si="46">+T206</f>
        <v>-192000</v>
      </c>
      <c r="G206" s="38">
        <f t="shared" ref="G206:G272" si="47">+U206</f>
        <v>-137163</v>
      </c>
      <c r="I206" s="41"/>
      <c r="K206" s="40">
        <f>ROUND(VLOOKUP($A206,'Contribution Allocation_Report'!$A$9:$D$314,4,FALSE)*$K$321,0)</f>
        <v>-1533930</v>
      </c>
      <c r="L206" s="40">
        <f>ROUND(VLOOKUP($A206,'Contribution Allocation_Report'!$A$9:$D$314,4,FALSE)*$L$321,0)</f>
        <v>-1034184</v>
      </c>
      <c r="M206" s="40">
        <f>ROUND(VLOOKUP($A206,'Contribution Allocation_Report'!$A$9:$D$314,4,FALSE)*$M$321,0)</f>
        <v>-331715</v>
      </c>
      <c r="N206" s="40">
        <f>ROUND(VLOOKUP($A206,'Contribution Allocation_Report'!$A$9:$D$314,4,FALSE)*$N$321,0)</f>
        <v>13655</v>
      </c>
      <c r="O206" s="40">
        <f>ROUND(VLOOKUP($A206,'Contribution Allocation_Report'!$A$9:$D$314,4,FALSE)*$O$321,0)</f>
        <v>-36855</v>
      </c>
      <c r="Q206" s="40">
        <f>+VLOOKUP(A206,'Change in Proportion Layers'!$AK$8:$AP$318,2,FALSE)+K206</f>
        <v>-1503583</v>
      </c>
      <c r="R206" s="40">
        <f>+VLOOKUP(A206,'Change in Proportion Layers'!$AK$8:$AP$318,3,FALSE)+L206</f>
        <v>-1108431</v>
      </c>
      <c r="S206" s="40">
        <f>+VLOOKUP(A206,'Change in Proportion Layers'!$AK$8:$AP$318,4,FALSE)+M206</f>
        <v>-380073</v>
      </c>
      <c r="T206" s="40">
        <f>+VLOOKUP(A206,'Change in Proportion Layers'!$AK$8:$AP$318,5,FALSE)+N206</f>
        <v>-192000</v>
      </c>
      <c r="U206" s="40">
        <f>+VLOOKUP(A206,'Change in Proportion Layers'!$AK$8:$AP$318,6,FALSE)+O206+1</f>
        <v>-137163</v>
      </c>
      <c r="W206" s="40">
        <f>('OPEB Amounts_Report'!G206-'OPEB Amounts_Report'!M206)</f>
        <v>-3321250</v>
      </c>
      <c r="X206" s="109">
        <f t="shared" si="36"/>
        <v>0</v>
      </c>
    </row>
    <row r="207" spans="1:24">
      <c r="A207" s="22">
        <v>2320</v>
      </c>
      <c r="B207" s="23" t="s">
        <v>192</v>
      </c>
      <c r="C207" s="37">
        <f t="shared" si="43"/>
        <v>-193858</v>
      </c>
      <c r="D207" s="37">
        <f t="shared" si="44"/>
        <v>-136920</v>
      </c>
      <c r="E207" s="37">
        <f t="shared" si="45"/>
        <v>-41619</v>
      </c>
      <c r="F207" s="37">
        <f t="shared" si="46"/>
        <v>-24067</v>
      </c>
      <c r="G207" s="37">
        <f t="shared" si="47"/>
        <v>-16162</v>
      </c>
      <c r="I207" s="41"/>
      <c r="K207" s="40">
        <f>ROUND(VLOOKUP($A207,'Contribution Allocation_Report'!$A$9:$D$314,4,FALSE)*$K$321,0)</f>
        <v>-180263</v>
      </c>
      <c r="L207" s="40">
        <f>ROUND(VLOOKUP($A207,'Contribution Allocation_Report'!$A$9:$D$314,4,FALSE)*$L$321,0)</f>
        <v>-121534</v>
      </c>
      <c r="M207" s="40">
        <f>ROUND(VLOOKUP($A207,'Contribution Allocation_Report'!$A$9:$D$314,4,FALSE)*$M$321,0)</f>
        <v>-38982</v>
      </c>
      <c r="N207" s="40">
        <f>ROUND(VLOOKUP($A207,'Contribution Allocation_Report'!$A$9:$D$314,4,FALSE)*$N$321,0)</f>
        <v>1605</v>
      </c>
      <c r="O207" s="40">
        <f>ROUND(VLOOKUP($A207,'Contribution Allocation_Report'!$A$9:$D$314,4,FALSE)*$O$321,0)</f>
        <v>-4331</v>
      </c>
      <c r="Q207" s="40">
        <f>+VLOOKUP(A207,'Change in Proportion Layers'!$AK$8:$AP$318,2,FALSE)+K207</f>
        <v>-193858</v>
      </c>
      <c r="R207" s="40">
        <f>+VLOOKUP(A207,'Change in Proportion Layers'!$AK$8:$AP$318,3,FALSE)+L207</f>
        <v>-136920</v>
      </c>
      <c r="S207" s="40">
        <f>+VLOOKUP(A207,'Change in Proportion Layers'!$AK$8:$AP$318,4,FALSE)+M207</f>
        <v>-41619</v>
      </c>
      <c r="T207" s="40">
        <f>+VLOOKUP(A207,'Change in Proportion Layers'!$AK$8:$AP$318,5,FALSE)+N207</f>
        <v>-24067</v>
      </c>
      <c r="U207" s="40">
        <f>+VLOOKUP(A207,'Change in Proportion Layers'!$AK$8:$AP$318,6,FALSE)+O207</f>
        <v>-16162</v>
      </c>
      <c r="W207" s="40">
        <f>('OPEB Amounts_Report'!G207-'OPEB Amounts_Report'!M207)</f>
        <v>-412626</v>
      </c>
      <c r="X207" s="109">
        <f t="shared" si="36"/>
        <v>0</v>
      </c>
    </row>
    <row r="208" spans="1:24">
      <c r="A208" s="24">
        <v>28084</v>
      </c>
      <c r="B208" s="3" t="s">
        <v>193</v>
      </c>
      <c r="C208" s="38">
        <f t="shared" si="43"/>
        <v>-139101</v>
      </c>
      <c r="D208" s="38">
        <f t="shared" si="44"/>
        <v>-98622</v>
      </c>
      <c r="E208" s="38">
        <f t="shared" si="45"/>
        <v>-31113</v>
      </c>
      <c r="F208" s="38">
        <f t="shared" si="46"/>
        <v>10114</v>
      </c>
      <c r="G208" s="38">
        <f t="shared" si="47"/>
        <v>-5544</v>
      </c>
      <c r="I208" s="41"/>
      <c r="K208" s="40">
        <f>ROUND(VLOOKUP($A208,'Contribution Allocation_Report'!$A$9:$D$314,4,FALSE)*$K$321,0)</f>
        <v>-160760</v>
      </c>
      <c r="L208" s="40">
        <f>ROUND(VLOOKUP($A208,'Contribution Allocation_Report'!$A$9:$D$314,4,FALSE)*$L$321,0)</f>
        <v>-108385</v>
      </c>
      <c r="M208" s="40">
        <f>ROUND(VLOOKUP($A208,'Contribution Allocation_Report'!$A$9:$D$314,4,FALSE)*$M$321,0)</f>
        <v>-34765</v>
      </c>
      <c r="N208" s="40">
        <f>ROUND(VLOOKUP($A208,'Contribution Allocation_Report'!$A$9:$D$314,4,FALSE)*$N$321,0)</f>
        <v>1431</v>
      </c>
      <c r="O208" s="40">
        <f>ROUND(VLOOKUP($A208,'Contribution Allocation_Report'!$A$9:$D$314,4,FALSE)*$O$321,0)</f>
        <v>-3862</v>
      </c>
      <c r="Q208" s="40">
        <f>+VLOOKUP(A208,'Change in Proportion Layers'!$AK$8:$AP$318,2,FALSE)+K208</f>
        <v>-139101</v>
      </c>
      <c r="R208" s="40">
        <f>+VLOOKUP(A208,'Change in Proportion Layers'!$AK$8:$AP$318,3,FALSE)+L208</f>
        <v>-98622</v>
      </c>
      <c r="S208" s="40">
        <f>+VLOOKUP(A208,'Change in Proportion Layers'!$AK$8:$AP$318,4,FALSE)+M208</f>
        <v>-31113</v>
      </c>
      <c r="T208" s="40">
        <f>+VLOOKUP(A208,'Change in Proportion Layers'!$AK$8:$AP$318,5,FALSE)+N208</f>
        <v>10114</v>
      </c>
      <c r="U208" s="40">
        <f>+VLOOKUP(A208,'Change in Proportion Layers'!$AK$8:$AP$318,6,FALSE)+O208+1</f>
        <v>-5544</v>
      </c>
      <c r="W208" s="40">
        <f>('OPEB Amounts_Report'!G208-'OPEB Amounts_Report'!M208)</f>
        <v>-264266</v>
      </c>
      <c r="X208" s="109">
        <f t="shared" si="36"/>
        <v>0</v>
      </c>
    </row>
    <row r="209" spans="1:24">
      <c r="A209" s="22">
        <v>20125</v>
      </c>
      <c r="B209" s="23" t="s">
        <v>194</v>
      </c>
      <c r="C209" s="37">
        <f t="shared" si="43"/>
        <v>-201957</v>
      </c>
      <c r="D209" s="37">
        <f t="shared" si="44"/>
        <v>-67900</v>
      </c>
      <c r="E209" s="37">
        <f t="shared" si="45"/>
        <v>-6302</v>
      </c>
      <c r="F209" s="37">
        <f t="shared" si="46"/>
        <v>-38133</v>
      </c>
      <c r="G209" s="37">
        <f t="shared" si="47"/>
        <v>-26245</v>
      </c>
      <c r="I209" s="41"/>
      <c r="K209" s="40">
        <f>ROUND(VLOOKUP($A209,'Contribution Allocation_Report'!$A$9:$D$314,4,FALSE)*$K$321,0)</f>
        <v>-223424</v>
      </c>
      <c r="L209" s="40">
        <f>ROUND(VLOOKUP($A209,'Contribution Allocation_Report'!$A$9:$D$314,4,FALSE)*$L$321,0)</f>
        <v>-150634</v>
      </c>
      <c r="M209" s="40">
        <f>ROUND(VLOOKUP($A209,'Contribution Allocation_Report'!$A$9:$D$314,4,FALSE)*$M$321,0)</f>
        <v>-48316</v>
      </c>
      <c r="N209" s="40">
        <f>ROUND(VLOOKUP($A209,'Contribution Allocation_Report'!$A$9:$D$314,4,FALSE)*$N$321,0)</f>
        <v>1989</v>
      </c>
      <c r="O209" s="40">
        <f>ROUND(VLOOKUP($A209,'Contribution Allocation_Report'!$A$9:$D$314,4,FALSE)*$O$321,0)</f>
        <v>-5368</v>
      </c>
      <c r="Q209" s="40">
        <f>+VLOOKUP(A209,'Change in Proportion Layers'!$AK$8:$AP$318,2,FALSE)+K209</f>
        <v>-201957</v>
      </c>
      <c r="R209" s="40">
        <f>+VLOOKUP(A209,'Change in Proportion Layers'!$AK$8:$AP$318,3,FALSE)+L209</f>
        <v>-67900</v>
      </c>
      <c r="S209" s="40">
        <f>+VLOOKUP(A209,'Change in Proportion Layers'!$AK$8:$AP$318,4,FALSE)+M209</f>
        <v>-6302</v>
      </c>
      <c r="T209" s="40">
        <f>+VLOOKUP(A209,'Change in Proportion Layers'!$AK$8:$AP$318,5,FALSE)+N209</f>
        <v>-38133</v>
      </c>
      <c r="U209" s="40">
        <f>+VLOOKUP(A209,'Change in Proportion Layers'!$AK$8:$AP$318,6,FALSE)+O209+1</f>
        <v>-26245</v>
      </c>
      <c r="W209" s="40">
        <f>('OPEB Amounts_Report'!G209-'OPEB Amounts_Report'!M209)</f>
        <v>-340537</v>
      </c>
      <c r="X209" s="109">
        <f t="shared" si="36"/>
        <v>0</v>
      </c>
    </row>
    <row r="210" spans="1:24">
      <c r="A210" s="24">
        <v>7445</v>
      </c>
      <c r="B210" s="3" t="s">
        <v>401</v>
      </c>
      <c r="C210" s="38">
        <f>+Q210</f>
        <v>28955</v>
      </c>
      <c r="D210" s="38">
        <f>+R210</f>
        <v>16649</v>
      </c>
      <c r="E210" s="38">
        <f>+S210</f>
        <v>30615</v>
      </c>
      <c r="F210" s="38">
        <f>+T210</f>
        <v>4348</v>
      </c>
      <c r="G210" s="38">
        <f>+U210</f>
        <v>-10871</v>
      </c>
      <c r="I210" s="41"/>
      <c r="K210" s="40">
        <f>ROUND(VLOOKUP($A210,'Contribution Allocation_Report'!$A$9:$D$314,4,FALSE)*$K$321,0)</f>
        <v>-87779</v>
      </c>
      <c r="L210" s="40">
        <f>ROUND(VLOOKUP($A210,'Contribution Allocation_Report'!$A$9:$D$314,4,FALSE)*$L$321,0)</f>
        <v>-59181</v>
      </c>
      <c r="M210" s="40">
        <f>ROUND(VLOOKUP($A210,'Contribution Allocation_Report'!$A$9:$D$314,4,FALSE)*$M$321,0)</f>
        <v>-18982</v>
      </c>
      <c r="N210" s="40">
        <f>ROUND(VLOOKUP($A210,'Contribution Allocation_Report'!$A$9:$D$314,4,FALSE)*$N$321,0)</f>
        <v>781</v>
      </c>
      <c r="O210" s="40">
        <f>ROUND(VLOOKUP($A210,'Contribution Allocation_Report'!$A$9:$D$314,4,FALSE)*$O$321,0)</f>
        <v>-2109</v>
      </c>
      <c r="Q210" s="40">
        <f>+VLOOKUP(A210,'Change in Proportion Layers'!$AK$8:$AP$318,2,FALSE)+K210</f>
        <v>28955</v>
      </c>
      <c r="R210" s="40">
        <f>+VLOOKUP(A210,'Change in Proportion Layers'!$AK$8:$AP$318,3,FALSE)+L210</f>
        <v>16649</v>
      </c>
      <c r="S210" s="40">
        <f>+VLOOKUP(A210,'Change in Proportion Layers'!$AK$8:$AP$318,4,FALSE)+M210</f>
        <v>30615</v>
      </c>
      <c r="T210" s="40">
        <f>+VLOOKUP(A210,'Change in Proportion Layers'!$AK$8:$AP$318,5,FALSE)+N210</f>
        <v>4348</v>
      </c>
      <c r="U210" s="40">
        <f>+VLOOKUP(A210,'Change in Proportion Layers'!$AK$8:$AP$318,6,FALSE)+O210</f>
        <v>-10871</v>
      </c>
      <c r="W210" s="40">
        <f>('OPEB Amounts_Report'!G210-'OPEB Amounts_Report'!M210)</f>
        <v>69696</v>
      </c>
      <c r="X210" s="109">
        <f t="shared" si="36"/>
        <v>0</v>
      </c>
    </row>
    <row r="211" spans="1:24">
      <c r="A211" s="22">
        <v>9029</v>
      </c>
      <c r="B211" s="23" t="s">
        <v>196</v>
      </c>
      <c r="C211" s="37">
        <f t="shared" si="43"/>
        <v>-468969</v>
      </c>
      <c r="D211" s="37">
        <f t="shared" si="44"/>
        <v>-319941</v>
      </c>
      <c r="E211" s="37">
        <f t="shared" si="45"/>
        <v>-107693</v>
      </c>
      <c r="F211" s="37">
        <f t="shared" si="46"/>
        <v>-41724</v>
      </c>
      <c r="G211" s="37">
        <f t="shared" si="47"/>
        <v>-25953</v>
      </c>
      <c r="I211" s="41"/>
      <c r="K211" s="40">
        <f>ROUND(VLOOKUP($A211,'Contribution Allocation_Report'!$A$9:$D$314,4,FALSE)*$K$321,0)</f>
        <v>-466030</v>
      </c>
      <c r="L211" s="40">
        <f>ROUND(VLOOKUP($A211,'Contribution Allocation_Report'!$A$9:$D$314,4,FALSE)*$L$321,0)</f>
        <v>-314200</v>
      </c>
      <c r="M211" s="40">
        <f>ROUND(VLOOKUP($A211,'Contribution Allocation_Report'!$A$9:$D$314,4,FALSE)*$M$321,0)</f>
        <v>-100780</v>
      </c>
      <c r="N211" s="40">
        <f>ROUND(VLOOKUP($A211,'Contribution Allocation_Report'!$A$9:$D$314,4,FALSE)*$N$321,0)</f>
        <v>4149</v>
      </c>
      <c r="O211" s="40">
        <f>ROUND(VLOOKUP($A211,'Contribution Allocation_Report'!$A$9:$D$314,4,FALSE)*$O$321,0)</f>
        <v>-11197</v>
      </c>
      <c r="Q211" s="40">
        <f>+VLOOKUP(A211,'Change in Proportion Layers'!$AK$8:$AP$318,2,FALSE)+K211</f>
        <v>-468969</v>
      </c>
      <c r="R211" s="40">
        <f>+VLOOKUP(A211,'Change in Proportion Layers'!$AK$8:$AP$318,3,FALSE)+L211</f>
        <v>-319941</v>
      </c>
      <c r="S211" s="40">
        <f>+VLOOKUP(A211,'Change in Proportion Layers'!$AK$8:$AP$318,4,FALSE)+M211</f>
        <v>-107693</v>
      </c>
      <c r="T211" s="40">
        <f>+VLOOKUP(A211,'Change in Proportion Layers'!$AK$8:$AP$318,5,FALSE)+N211</f>
        <v>-41724</v>
      </c>
      <c r="U211" s="40">
        <f>+VLOOKUP(A211,'Change in Proportion Layers'!$AK$8:$AP$318,6,FALSE)+O211-1</f>
        <v>-25953</v>
      </c>
      <c r="W211" s="40">
        <f>('OPEB Amounts_Report'!G211-'OPEB Amounts_Report'!M211)</f>
        <v>-964280</v>
      </c>
      <c r="X211" s="109">
        <f t="shared" si="36"/>
        <v>0</v>
      </c>
    </row>
    <row r="212" spans="1:24">
      <c r="A212" s="24">
        <v>2580</v>
      </c>
      <c r="B212" s="3" t="s">
        <v>197</v>
      </c>
      <c r="C212" s="38">
        <f t="shared" si="43"/>
        <v>-80694</v>
      </c>
      <c r="D212" s="38">
        <f t="shared" si="44"/>
        <v>-56673</v>
      </c>
      <c r="E212" s="38">
        <f t="shared" si="45"/>
        <v>-17438</v>
      </c>
      <c r="F212" s="38">
        <f t="shared" si="46"/>
        <v>1795</v>
      </c>
      <c r="G212" s="38">
        <f t="shared" si="47"/>
        <v>-599</v>
      </c>
      <c r="I212" s="41"/>
      <c r="K212" s="40">
        <f>ROUND(VLOOKUP($A212,'Contribution Allocation_Report'!$A$9:$D$314,4,FALSE)*$K$321,0)</f>
        <v>-58952</v>
      </c>
      <c r="L212" s="40">
        <f>ROUND(VLOOKUP($A212,'Contribution Allocation_Report'!$A$9:$D$314,4,FALSE)*$L$321,0)</f>
        <v>-39746</v>
      </c>
      <c r="M212" s="40">
        <f>ROUND(VLOOKUP($A212,'Contribution Allocation_Report'!$A$9:$D$314,4,FALSE)*$M$321,0)</f>
        <v>-12748</v>
      </c>
      <c r="N212" s="40">
        <f>ROUND(VLOOKUP($A212,'Contribution Allocation_Report'!$A$9:$D$314,4,FALSE)*$N$321,0)</f>
        <v>525</v>
      </c>
      <c r="O212" s="40">
        <f>ROUND(VLOOKUP($A212,'Contribution Allocation_Report'!$A$9:$D$314,4,FALSE)*$O$321,0)</f>
        <v>-1416</v>
      </c>
      <c r="Q212" s="40">
        <f>+VLOOKUP(A212,'Change in Proportion Layers'!$AK$8:$AP$318,2,FALSE)+K212</f>
        <v>-80694</v>
      </c>
      <c r="R212" s="40">
        <f>+VLOOKUP(A212,'Change in Proportion Layers'!$AK$8:$AP$318,3,FALSE)+L212</f>
        <v>-56673</v>
      </c>
      <c r="S212" s="40">
        <f>+VLOOKUP(A212,'Change in Proportion Layers'!$AK$8:$AP$318,4,FALSE)+M212</f>
        <v>-17438</v>
      </c>
      <c r="T212" s="40">
        <f>+VLOOKUP(A212,'Change in Proportion Layers'!$AK$8:$AP$318,5,FALSE)+N212</f>
        <v>1795</v>
      </c>
      <c r="U212" s="40">
        <f>+VLOOKUP(A212,'Change in Proportion Layers'!$AK$8:$AP$318,6,FALSE)+O212-3</f>
        <v>-599</v>
      </c>
      <c r="W212" s="40">
        <f>('OPEB Amounts_Report'!G212-'OPEB Amounts_Report'!M212)</f>
        <v>-153609</v>
      </c>
      <c r="X212" s="109">
        <f t="shared" si="36"/>
        <v>0</v>
      </c>
    </row>
    <row r="213" spans="1:24">
      <c r="A213" s="22">
        <v>20312</v>
      </c>
      <c r="B213" s="23" t="s">
        <v>198</v>
      </c>
      <c r="C213" s="37">
        <f t="shared" si="43"/>
        <v>-44995</v>
      </c>
      <c r="D213" s="37">
        <f t="shared" si="44"/>
        <v>-38917</v>
      </c>
      <c r="E213" s="37">
        <f t="shared" si="45"/>
        <v>-17836</v>
      </c>
      <c r="F213" s="37">
        <f t="shared" si="46"/>
        <v>-4290</v>
      </c>
      <c r="G213" s="37">
        <f t="shared" si="47"/>
        <v>-1210</v>
      </c>
      <c r="I213" s="41"/>
      <c r="K213" s="40">
        <f>ROUND(VLOOKUP($A213,'Contribution Allocation_Report'!$A$9:$D$314,4,FALSE)*$K$321,0)</f>
        <v>-47282</v>
      </c>
      <c r="L213" s="40">
        <f>ROUND(VLOOKUP($A213,'Contribution Allocation_Report'!$A$9:$D$314,4,FALSE)*$L$321,0)</f>
        <v>-31878</v>
      </c>
      <c r="M213" s="40">
        <f>ROUND(VLOOKUP($A213,'Contribution Allocation_Report'!$A$9:$D$314,4,FALSE)*$M$321,0)</f>
        <v>-10225</v>
      </c>
      <c r="N213" s="40">
        <f>ROUND(VLOOKUP($A213,'Contribution Allocation_Report'!$A$9:$D$314,4,FALSE)*$N$321,0)</f>
        <v>421</v>
      </c>
      <c r="O213" s="40">
        <f>ROUND(VLOOKUP($A213,'Contribution Allocation_Report'!$A$9:$D$314,4,FALSE)*$O$321,0)</f>
        <v>-1136</v>
      </c>
      <c r="Q213" s="40">
        <f>+VLOOKUP(A213,'Change in Proportion Layers'!$AK$8:$AP$318,2,FALSE)+K213</f>
        <v>-44995</v>
      </c>
      <c r="R213" s="40">
        <f>+VLOOKUP(A213,'Change in Proportion Layers'!$AK$8:$AP$318,3,FALSE)+L213</f>
        <v>-38917</v>
      </c>
      <c r="S213" s="40">
        <f>+VLOOKUP(A213,'Change in Proportion Layers'!$AK$8:$AP$318,4,FALSE)+M213</f>
        <v>-17836</v>
      </c>
      <c r="T213" s="40">
        <f>+VLOOKUP(A213,'Change in Proportion Layers'!$AK$8:$AP$318,5,FALSE)+N213</f>
        <v>-4290</v>
      </c>
      <c r="U213" s="40">
        <f>+VLOOKUP(A213,'Change in Proportion Layers'!$AK$8:$AP$318,6,FALSE)+O213+2</f>
        <v>-1210</v>
      </c>
      <c r="W213" s="40">
        <f>('OPEB Amounts_Report'!G213-'OPEB Amounts_Report'!M213)</f>
        <v>-107248</v>
      </c>
      <c r="X213" s="109">
        <f t="shared" ref="X213:X277" si="48">SUM(Q213:U213)-W213</f>
        <v>0</v>
      </c>
    </row>
    <row r="214" spans="1:24">
      <c r="A214" s="24">
        <v>26150</v>
      </c>
      <c r="B214" s="3" t="s">
        <v>199</v>
      </c>
      <c r="C214" s="38">
        <f t="shared" si="43"/>
        <v>-340833</v>
      </c>
      <c r="D214" s="38">
        <f t="shared" si="44"/>
        <v>-202733</v>
      </c>
      <c r="E214" s="38">
        <f t="shared" si="45"/>
        <v>-56800</v>
      </c>
      <c r="F214" s="38">
        <f t="shared" si="46"/>
        <v>24630</v>
      </c>
      <c r="G214" s="38">
        <f t="shared" si="47"/>
        <v>25048</v>
      </c>
      <c r="I214" s="41"/>
      <c r="K214" s="40">
        <f>ROUND(VLOOKUP($A214,'Contribution Allocation_Report'!$A$9:$D$314,4,FALSE)*$K$321,0)</f>
        <v>-389448</v>
      </c>
      <c r="L214" s="40">
        <f>ROUND(VLOOKUP($A214,'Contribution Allocation_Report'!$A$9:$D$314,4,FALSE)*$L$321,0)</f>
        <v>-262568</v>
      </c>
      <c r="M214" s="40">
        <f>ROUND(VLOOKUP($A214,'Contribution Allocation_Report'!$A$9:$D$314,4,FALSE)*$M$321,0)</f>
        <v>-84219</v>
      </c>
      <c r="N214" s="40">
        <f>ROUND(VLOOKUP($A214,'Contribution Allocation_Report'!$A$9:$D$314,4,FALSE)*$N$321,0)</f>
        <v>3467</v>
      </c>
      <c r="O214" s="40">
        <f>ROUND(VLOOKUP($A214,'Contribution Allocation_Report'!$A$9:$D$314,4,FALSE)*$O$321,0)</f>
        <v>-9357</v>
      </c>
      <c r="Q214" s="40">
        <f>+VLOOKUP(A214,'Change in Proportion Layers'!$AK$8:$AP$318,2,FALSE)+K214</f>
        <v>-340833</v>
      </c>
      <c r="R214" s="40">
        <f>+VLOOKUP(A214,'Change in Proportion Layers'!$AK$8:$AP$318,3,FALSE)+L214</f>
        <v>-202733</v>
      </c>
      <c r="S214" s="40">
        <f>+VLOOKUP(A214,'Change in Proportion Layers'!$AK$8:$AP$318,4,FALSE)+M214</f>
        <v>-56800</v>
      </c>
      <c r="T214" s="40">
        <f>+VLOOKUP(A214,'Change in Proportion Layers'!$AK$8:$AP$318,5,FALSE)+N214</f>
        <v>24630</v>
      </c>
      <c r="U214" s="40">
        <f>+VLOOKUP(A214,'Change in Proportion Layers'!$AK$8:$AP$318,6,FALSE)+O214+1</f>
        <v>25048</v>
      </c>
      <c r="W214" s="40">
        <f>('OPEB Amounts_Report'!G214-'OPEB Amounts_Report'!M214)</f>
        <v>-550688</v>
      </c>
      <c r="X214" s="109">
        <f t="shared" si="48"/>
        <v>0</v>
      </c>
    </row>
    <row r="215" spans="1:24">
      <c r="A215" s="22">
        <v>5016</v>
      </c>
      <c r="B215" s="23" t="s">
        <v>200</v>
      </c>
      <c r="C215" s="37">
        <f t="shared" si="43"/>
        <v>-35823</v>
      </c>
      <c r="D215" s="37">
        <f t="shared" si="44"/>
        <v>-20195</v>
      </c>
      <c r="E215" s="37">
        <f t="shared" si="45"/>
        <v>1449</v>
      </c>
      <c r="F215" s="37">
        <f t="shared" si="46"/>
        <v>7456</v>
      </c>
      <c r="G215" s="37">
        <f t="shared" si="47"/>
        <v>-3495</v>
      </c>
      <c r="I215" s="41"/>
      <c r="K215" s="40">
        <f>ROUND(VLOOKUP($A215,'Contribution Allocation_Report'!$A$9:$D$314,4,FALSE)*$K$321,0)</f>
        <v>-48431</v>
      </c>
      <c r="L215" s="40">
        <f>ROUND(VLOOKUP($A215,'Contribution Allocation_Report'!$A$9:$D$314,4,FALSE)*$L$321,0)</f>
        <v>-32653</v>
      </c>
      <c r="M215" s="40">
        <f>ROUND(VLOOKUP($A215,'Contribution Allocation_Report'!$A$9:$D$314,4,FALSE)*$M$321,0)</f>
        <v>-10473</v>
      </c>
      <c r="N215" s="40">
        <f>ROUND(VLOOKUP($A215,'Contribution Allocation_Report'!$A$9:$D$314,4,FALSE)*$N$321,0)</f>
        <v>431</v>
      </c>
      <c r="O215" s="40">
        <f>ROUND(VLOOKUP($A215,'Contribution Allocation_Report'!$A$9:$D$314,4,FALSE)*$O$321,0)</f>
        <v>-1164</v>
      </c>
      <c r="Q215" s="40">
        <f>+VLOOKUP(A215,'Change in Proportion Layers'!$AK$8:$AP$318,2,FALSE)+K215</f>
        <v>-35823</v>
      </c>
      <c r="R215" s="40">
        <f>+VLOOKUP(A215,'Change in Proportion Layers'!$AK$8:$AP$318,3,FALSE)+L215</f>
        <v>-20195</v>
      </c>
      <c r="S215" s="40">
        <f>+VLOOKUP(A215,'Change in Proportion Layers'!$AK$8:$AP$318,4,FALSE)+M215</f>
        <v>1449</v>
      </c>
      <c r="T215" s="40">
        <f>+VLOOKUP(A215,'Change in Proportion Layers'!$AK$8:$AP$318,5,FALSE)+N215</f>
        <v>7456</v>
      </c>
      <c r="U215" s="40">
        <f>+VLOOKUP(A215,'Change in Proportion Layers'!$AK$8:$AP$318,6,FALSE)+O215</f>
        <v>-3495</v>
      </c>
      <c r="W215" s="40">
        <f>('OPEB Amounts_Report'!G215-'OPEB Amounts_Report'!M215)</f>
        <v>-50608</v>
      </c>
      <c r="X215" s="109">
        <f t="shared" si="48"/>
        <v>0</v>
      </c>
    </row>
    <row r="216" spans="1:24">
      <c r="A216" s="24">
        <v>6150</v>
      </c>
      <c r="B216" s="3" t="s">
        <v>201</v>
      </c>
      <c r="C216" s="38">
        <f t="shared" si="43"/>
        <v>-32715</v>
      </c>
      <c r="D216" s="38">
        <f t="shared" si="44"/>
        <v>-13717</v>
      </c>
      <c r="E216" s="38">
        <f t="shared" si="45"/>
        <v>-7551</v>
      </c>
      <c r="F216" s="38">
        <f t="shared" si="46"/>
        <v>-22592</v>
      </c>
      <c r="G216" s="38">
        <f t="shared" si="47"/>
        <v>-4211</v>
      </c>
      <c r="I216" s="41"/>
      <c r="K216" s="40">
        <f>ROUND(VLOOKUP($A216,'Contribution Allocation_Report'!$A$9:$D$314,4,FALSE)*$K$321,0)</f>
        <v>-36569</v>
      </c>
      <c r="L216" s="40">
        <f>ROUND(VLOOKUP($A216,'Contribution Allocation_Report'!$A$9:$D$314,4,FALSE)*$L$321,0)</f>
        <v>-24655</v>
      </c>
      <c r="M216" s="40">
        <f>ROUND(VLOOKUP($A216,'Contribution Allocation_Report'!$A$9:$D$314,4,FALSE)*$M$321,0)</f>
        <v>-7908</v>
      </c>
      <c r="N216" s="40">
        <f>ROUND(VLOOKUP($A216,'Contribution Allocation_Report'!$A$9:$D$314,4,FALSE)*$N$321,0)</f>
        <v>326</v>
      </c>
      <c r="O216" s="40">
        <f>ROUND(VLOOKUP($A216,'Contribution Allocation_Report'!$A$9:$D$314,4,FALSE)*$O$321,0)</f>
        <v>-879</v>
      </c>
      <c r="Q216" s="40">
        <f>+VLOOKUP(A216,'Change in Proportion Layers'!$AK$8:$AP$318,2,FALSE)+K216</f>
        <v>-32715</v>
      </c>
      <c r="R216" s="40">
        <f>+VLOOKUP(A216,'Change in Proportion Layers'!$AK$8:$AP$318,3,FALSE)+L216</f>
        <v>-13717</v>
      </c>
      <c r="S216" s="40">
        <f>+VLOOKUP(A216,'Change in Proportion Layers'!$AK$8:$AP$318,4,FALSE)+M216</f>
        <v>-7551</v>
      </c>
      <c r="T216" s="40">
        <f>+VLOOKUP(A216,'Change in Proportion Layers'!$AK$8:$AP$318,5,FALSE)+N216</f>
        <v>-22592</v>
      </c>
      <c r="U216" s="40">
        <f>+VLOOKUP(A216,'Change in Proportion Layers'!$AK$8:$AP$318,6,FALSE)+O216+1</f>
        <v>-4211</v>
      </c>
      <c r="W216" s="40">
        <f>('OPEB Amounts_Report'!G216-'OPEB Amounts_Report'!M216)</f>
        <v>-80786</v>
      </c>
      <c r="X216" s="109">
        <f t="shared" si="48"/>
        <v>0</v>
      </c>
    </row>
    <row r="217" spans="1:24">
      <c r="A217" s="22">
        <v>4480</v>
      </c>
      <c r="B217" s="23" t="s">
        <v>202</v>
      </c>
      <c r="C217" s="37">
        <f t="shared" si="43"/>
        <v>-86150</v>
      </c>
      <c r="D217" s="37">
        <f t="shared" si="44"/>
        <v>-45983</v>
      </c>
      <c r="E217" s="37">
        <f t="shared" si="45"/>
        <v>-3126</v>
      </c>
      <c r="F217" s="37">
        <f t="shared" si="46"/>
        <v>3152</v>
      </c>
      <c r="G217" s="37">
        <f t="shared" si="47"/>
        <v>-298</v>
      </c>
      <c r="I217" s="41"/>
      <c r="K217" s="40">
        <f>ROUND(VLOOKUP($A217,'Contribution Allocation_Report'!$A$9:$D$314,4,FALSE)*$K$321,0)</f>
        <v>-69338</v>
      </c>
      <c r="L217" s="40">
        <f>ROUND(VLOOKUP($A217,'Contribution Allocation_Report'!$A$9:$D$314,4,FALSE)*$L$321,0)</f>
        <v>-46748</v>
      </c>
      <c r="M217" s="40">
        <f>ROUND(VLOOKUP($A217,'Contribution Allocation_Report'!$A$9:$D$314,4,FALSE)*$M$321,0)</f>
        <v>-14994</v>
      </c>
      <c r="N217" s="40">
        <f>ROUND(VLOOKUP($A217,'Contribution Allocation_Report'!$A$9:$D$314,4,FALSE)*$N$321,0)</f>
        <v>617</v>
      </c>
      <c r="O217" s="40">
        <f>ROUND(VLOOKUP($A217,'Contribution Allocation_Report'!$A$9:$D$314,4,FALSE)*$O$321,0)</f>
        <v>-1666</v>
      </c>
      <c r="Q217" s="40">
        <f>+VLOOKUP(A217,'Change in Proportion Layers'!$AK$8:$AP$318,2,FALSE)+K217</f>
        <v>-86150</v>
      </c>
      <c r="R217" s="40">
        <f>+VLOOKUP(A217,'Change in Proportion Layers'!$AK$8:$AP$318,3,FALSE)+L217</f>
        <v>-45983</v>
      </c>
      <c r="S217" s="40">
        <f>+VLOOKUP(A217,'Change in Proportion Layers'!$AK$8:$AP$318,4,FALSE)+M217</f>
        <v>-3126</v>
      </c>
      <c r="T217" s="40">
        <f>+VLOOKUP(A217,'Change in Proportion Layers'!$AK$8:$AP$318,5,FALSE)+N217</f>
        <v>3152</v>
      </c>
      <c r="U217" s="40">
        <f>+VLOOKUP(A217,'Change in Proportion Layers'!$AK$8:$AP$318,6,FALSE)+O217-1</f>
        <v>-298</v>
      </c>
      <c r="W217" s="40">
        <f>('OPEB Amounts_Report'!G217-'OPEB Amounts_Report'!M217)</f>
        <v>-132405</v>
      </c>
      <c r="X217" s="109">
        <f t="shared" si="48"/>
        <v>0</v>
      </c>
    </row>
    <row r="218" spans="1:24">
      <c r="A218" s="24">
        <v>28085</v>
      </c>
      <c r="B218" s="3" t="s">
        <v>203</v>
      </c>
      <c r="C218" s="38">
        <f t="shared" si="43"/>
        <v>-140705</v>
      </c>
      <c r="D218" s="38">
        <f t="shared" si="44"/>
        <v>-83509</v>
      </c>
      <c r="E218" s="38">
        <f t="shared" si="45"/>
        <v>-28401</v>
      </c>
      <c r="F218" s="38">
        <f t="shared" si="46"/>
        <v>-7829</v>
      </c>
      <c r="G218" s="38">
        <f t="shared" si="47"/>
        <v>-4394</v>
      </c>
      <c r="I218" s="41"/>
      <c r="K218" s="40">
        <f>ROUND(VLOOKUP($A218,'Contribution Allocation_Report'!$A$9:$D$314,4,FALSE)*$K$321,0)</f>
        <v>-125278</v>
      </c>
      <c r="L218" s="40">
        <f>ROUND(VLOOKUP($A218,'Contribution Allocation_Report'!$A$9:$D$314,4,FALSE)*$L$321,0)</f>
        <v>-84463</v>
      </c>
      <c r="M218" s="40">
        <f>ROUND(VLOOKUP($A218,'Contribution Allocation_Report'!$A$9:$D$314,4,FALSE)*$M$321,0)</f>
        <v>-27091</v>
      </c>
      <c r="N218" s="40">
        <f>ROUND(VLOOKUP($A218,'Contribution Allocation_Report'!$A$9:$D$314,4,FALSE)*$N$321,0)</f>
        <v>1115</v>
      </c>
      <c r="O218" s="40">
        <f>ROUND(VLOOKUP($A218,'Contribution Allocation_Report'!$A$9:$D$314,4,FALSE)*$O$321,0)</f>
        <v>-3010</v>
      </c>
      <c r="Q218" s="40">
        <f>+VLOOKUP(A218,'Change in Proportion Layers'!$AK$8:$AP$318,2,FALSE)+K218</f>
        <v>-140705</v>
      </c>
      <c r="R218" s="40">
        <f>+VLOOKUP(A218,'Change in Proportion Layers'!$AK$8:$AP$318,3,FALSE)+L218</f>
        <v>-83509</v>
      </c>
      <c r="S218" s="40">
        <f>+VLOOKUP(A218,'Change in Proportion Layers'!$AK$8:$AP$318,4,FALSE)+M218</f>
        <v>-28401</v>
      </c>
      <c r="T218" s="40">
        <f>+VLOOKUP(A218,'Change in Proportion Layers'!$AK$8:$AP$318,5,FALSE)+N218</f>
        <v>-7829</v>
      </c>
      <c r="U218" s="40">
        <f>+VLOOKUP(A218,'Change in Proportion Layers'!$AK$8:$AP$318,6,FALSE)+O218</f>
        <v>-4394</v>
      </c>
      <c r="W218" s="40">
        <f>('OPEB Amounts_Report'!G218-'OPEB Amounts_Report'!M218)</f>
        <v>-264838</v>
      </c>
      <c r="X218" s="109">
        <f t="shared" si="48"/>
        <v>0</v>
      </c>
    </row>
    <row r="219" spans="1:24">
      <c r="A219" s="22">
        <v>3240</v>
      </c>
      <c r="B219" s="23" t="s">
        <v>204</v>
      </c>
      <c r="C219" s="37">
        <f t="shared" si="43"/>
        <v>-862968</v>
      </c>
      <c r="D219" s="37">
        <f t="shared" si="44"/>
        <v>-647951</v>
      </c>
      <c r="E219" s="37">
        <f t="shared" si="45"/>
        <v>-154009</v>
      </c>
      <c r="F219" s="37">
        <f t="shared" si="46"/>
        <v>165975</v>
      </c>
      <c r="G219" s="37">
        <f t="shared" si="47"/>
        <v>28312</v>
      </c>
      <c r="I219" s="41"/>
      <c r="K219" s="40">
        <f>ROUND(VLOOKUP($A219,'Contribution Allocation_Report'!$A$9:$D$314,4,FALSE)*$K$321,0)</f>
        <v>-789494</v>
      </c>
      <c r="L219" s="40">
        <f>ROUND(VLOOKUP($A219,'Contribution Allocation_Report'!$A$9:$D$314,4,FALSE)*$L$321,0)</f>
        <v>-532281</v>
      </c>
      <c r="M219" s="40">
        <f>ROUND(VLOOKUP($A219,'Contribution Allocation_Report'!$A$9:$D$314,4,FALSE)*$M$321,0)</f>
        <v>-170729</v>
      </c>
      <c r="N219" s="40">
        <f>ROUND(VLOOKUP($A219,'Contribution Allocation_Report'!$A$9:$D$314,4,FALSE)*$N$321,0)</f>
        <v>7028</v>
      </c>
      <c r="O219" s="40">
        <f>ROUND(VLOOKUP($A219,'Contribution Allocation_Report'!$A$9:$D$314,4,FALSE)*$O$321,0)</f>
        <v>-18969</v>
      </c>
      <c r="Q219" s="40">
        <f>+VLOOKUP(A219,'Change in Proportion Layers'!$AK$8:$AP$318,2,FALSE)+K219</f>
        <v>-862968</v>
      </c>
      <c r="R219" s="40">
        <f>+VLOOKUP(A219,'Change in Proportion Layers'!$AK$8:$AP$318,3,FALSE)+L219</f>
        <v>-647951</v>
      </c>
      <c r="S219" s="40">
        <f>+VLOOKUP(A219,'Change in Proportion Layers'!$AK$8:$AP$318,4,FALSE)+M219</f>
        <v>-154009</v>
      </c>
      <c r="T219" s="40">
        <f>+VLOOKUP(A219,'Change in Proportion Layers'!$AK$8:$AP$318,5,FALSE)+N219</f>
        <v>165975</v>
      </c>
      <c r="U219" s="40">
        <f>+VLOOKUP(A219,'Change in Proportion Layers'!$AK$8:$AP$318,6,FALSE)+O219-1</f>
        <v>28312</v>
      </c>
      <c r="W219" s="40">
        <f>('OPEB Amounts_Report'!G219-'OPEB Amounts_Report'!M219)</f>
        <v>-1470641</v>
      </c>
      <c r="X219" s="109">
        <f t="shared" si="48"/>
        <v>0</v>
      </c>
    </row>
    <row r="220" spans="1:24">
      <c r="A220" s="24">
        <v>12326</v>
      </c>
      <c r="B220" s="3" t="s">
        <v>205</v>
      </c>
      <c r="C220" s="38">
        <f t="shared" si="43"/>
        <v>-40819</v>
      </c>
      <c r="D220" s="38">
        <f t="shared" si="44"/>
        <v>-18365</v>
      </c>
      <c r="E220" s="38">
        <f t="shared" si="45"/>
        <v>-1495</v>
      </c>
      <c r="F220" s="38">
        <f t="shared" si="46"/>
        <v>-7634</v>
      </c>
      <c r="G220" s="38">
        <f t="shared" si="47"/>
        <v>-13686</v>
      </c>
      <c r="I220" s="41"/>
      <c r="K220" s="40">
        <f>ROUND(VLOOKUP($A220,'Contribution Allocation_Report'!$A$9:$D$314,4,FALSE)*$K$321,0)</f>
        <v>-52365</v>
      </c>
      <c r="L220" s="40">
        <f>ROUND(VLOOKUP($A220,'Contribution Allocation_Report'!$A$9:$D$314,4,FALSE)*$L$321,0)</f>
        <v>-35305</v>
      </c>
      <c r="M220" s="40">
        <f>ROUND(VLOOKUP($A220,'Contribution Allocation_Report'!$A$9:$D$314,4,FALSE)*$M$321,0)</f>
        <v>-11324</v>
      </c>
      <c r="N220" s="40">
        <f>ROUND(VLOOKUP($A220,'Contribution Allocation_Report'!$A$9:$D$314,4,FALSE)*$N$321,0)</f>
        <v>466</v>
      </c>
      <c r="O220" s="40">
        <f>ROUND(VLOOKUP($A220,'Contribution Allocation_Report'!$A$9:$D$314,4,FALSE)*$O$321,0)</f>
        <v>-1258</v>
      </c>
      <c r="Q220" s="40">
        <f>+VLOOKUP(A220,'Change in Proportion Layers'!$AK$8:$AP$318,2,FALSE)+K220</f>
        <v>-40819</v>
      </c>
      <c r="R220" s="40">
        <f>+VLOOKUP(A220,'Change in Proportion Layers'!$AK$8:$AP$318,3,FALSE)+L220</f>
        <v>-18365</v>
      </c>
      <c r="S220" s="40">
        <f>+VLOOKUP(A220,'Change in Proportion Layers'!$AK$8:$AP$318,4,FALSE)+M220</f>
        <v>-1495</v>
      </c>
      <c r="T220" s="40">
        <f>+VLOOKUP(A220,'Change in Proportion Layers'!$AK$8:$AP$318,5,FALSE)+N220</f>
        <v>-7634</v>
      </c>
      <c r="U220" s="40">
        <f>+VLOOKUP(A220,'Change in Proportion Layers'!$AK$8:$AP$318,6,FALSE)+O220+1</f>
        <v>-13686</v>
      </c>
      <c r="W220" s="40">
        <f>('OPEB Amounts_Report'!G220-'OPEB Amounts_Report'!M220)</f>
        <v>-81999</v>
      </c>
      <c r="X220" s="109">
        <f t="shared" si="48"/>
        <v>0</v>
      </c>
    </row>
    <row r="221" spans="1:24">
      <c r="A221" s="22">
        <v>2445</v>
      </c>
      <c r="B221" s="23" t="s">
        <v>427</v>
      </c>
      <c r="C221" s="37">
        <f t="shared" ref="C221" si="49">+Q221</f>
        <v>37147</v>
      </c>
      <c r="D221" s="37">
        <f t="shared" ref="D221" si="50">+R221</f>
        <v>61142</v>
      </c>
      <c r="E221" s="37">
        <f t="shared" ref="E221" si="51">+S221</f>
        <v>71556</v>
      </c>
      <c r="F221" s="37">
        <f t="shared" ref="F221" si="52">+T221</f>
        <v>53227</v>
      </c>
      <c r="G221" s="37">
        <f t="shared" ref="G221" si="53">+U221</f>
        <v>16271</v>
      </c>
      <c r="I221" s="41"/>
      <c r="K221" s="40">
        <f>ROUND(VLOOKUP($A221,'Contribution Allocation_Report'!$A$9:$D$314,4,FALSE)*$K$321,0)</f>
        <v>-81975</v>
      </c>
      <c r="L221" s="40">
        <f>ROUND(VLOOKUP($A221,'Contribution Allocation_Report'!$A$9:$D$314,4,FALSE)*$L$321,0)</f>
        <v>-55268</v>
      </c>
      <c r="M221" s="40">
        <f>ROUND(VLOOKUP($A221,'Contribution Allocation_Report'!$A$9:$D$314,4,FALSE)*$M$321,0)</f>
        <v>-17727</v>
      </c>
      <c r="N221" s="40">
        <f>ROUND(VLOOKUP($A221,'Contribution Allocation_Report'!$A$9:$D$314,4,FALSE)*$N$321,0)</f>
        <v>730</v>
      </c>
      <c r="O221" s="40">
        <f>ROUND(VLOOKUP($A221,'Contribution Allocation_Report'!$A$9:$D$314,4,FALSE)*$O$321,0)</f>
        <v>-1970</v>
      </c>
      <c r="Q221" s="40">
        <f>+VLOOKUP(A221,'Change in Proportion Layers'!$AK$8:$AP$318,2,FALSE)+K221</f>
        <v>37147</v>
      </c>
      <c r="R221" s="40">
        <f>+VLOOKUP(A221,'Change in Proportion Layers'!$AK$8:$AP$318,3,FALSE)+L221</f>
        <v>61142</v>
      </c>
      <c r="S221" s="40">
        <f>+VLOOKUP(A221,'Change in Proportion Layers'!$AK$8:$AP$318,4,FALSE)+M221</f>
        <v>71556</v>
      </c>
      <c r="T221" s="40">
        <f>+VLOOKUP(A221,'Change in Proportion Layers'!$AK$8:$AP$318,5,FALSE)+N221</f>
        <v>53227</v>
      </c>
      <c r="U221" s="40">
        <f>+VLOOKUP(A221,'Change in Proportion Layers'!$AK$8:$AP$318,6,FALSE)+O221+1</f>
        <v>16271</v>
      </c>
      <c r="W221" s="40">
        <f>('OPEB Amounts_Report'!G221-'OPEB Amounts_Report'!M221)</f>
        <v>239343</v>
      </c>
      <c r="X221" s="109">
        <f t="shared" si="48"/>
        <v>0</v>
      </c>
    </row>
    <row r="222" spans="1:24">
      <c r="A222" s="24">
        <v>29123</v>
      </c>
      <c r="B222" s="3" t="s">
        <v>206</v>
      </c>
      <c r="C222" s="38">
        <f t="shared" si="43"/>
        <v>-9414309</v>
      </c>
      <c r="D222" s="38">
        <f t="shared" si="44"/>
        <v>-5970281</v>
      </c>
      <c r="E222" s="38">
        <f t="shared" si="45"/>
        <v>-1750469</v>
      </c>
      <c r="F222" s="38">
        <f t="shared" si="46"/>
        <v>-421717</v>
      </c>
      <c r="G222" s="38">
        <f t="shared" si="47"/>
        <v>-327606</v>
      </c>
      <c r="I222" s="41"/>
      <c r="K222" s="40">
        <f>ROUND(VLOOKUP($A222,'Contribution Allocation_Report'!$A$9:$D$314,4,FALSE)*$K$321,0)</f>
        <v>-9159563</v>
      </c>
      <c r="L222" s="40">
        <f>ROUND(VLOOKUP($A222,'Contribution Allocation_Report'!$A$9:$D$314,4,FALSE)*$L$321,0)</f>
        <v>-6175423</v>
      </c>
      <c r="M222" s="40">
        <f>ROUND(VLOOKUP($A222,'Contribution Allocation_Report'!$A$9:$D$314,4,FALSE)*$M$321,0)</f>
        <v>-1980768</v>
      </c>
      <c r="N222" s="40">
        <f>ROUND(VLOOKUP($A222,'Contribution Allocation_Report'!$A$9:$D$314,4,FALSE)*$N$321,0)</f>
        <v>81539</v>
      </c>
      <c r="O222" s="40">
        <f>ROUND(VLOOKUP($A222,'Contribution Allocation_Report'!$A$9:$D$314,4,FALSE)*$O$321,0)</f>
        <v>-220072</v>
      </c>
      <c r="Q222" s="40">
        <f>+VLOOKUP(A222,'Change in Proportion Layers'!$AK$8:$AP$318,2,FALSE)+K222</f>
        <v>-9414309</v>
      </c>
      <c r="R222" s="40">
        <f>+VLOOKUP(A222,'Change in Proportion Layers'!$AK$8:$AP$318,3,FALSE)+L222</f>
        <v>-5970281</v>
      </c>
      <c r="S222" s="40">
        <f>+VLOOKUP(A222,'Change in Proportion Layers'!$AK$8:$AP$318,4,FALSE)+M222</f>
        <v>-1750469</v>
      </c>
      <c r="T222" s="40">
        <f>+VLOOKUP(A222,'Change in Proportion Layers'!$AK$8:$AP$318,5,FALSE)+N222</f>
        <v>-421717</v>
      </c>
      <c r="U222" s="40">
        <f>+VLOOKUP(A222,'Change in Proportion Layers'!$AK$8:$AP$318,6,FALSE)+O222</f>
        <v>-327606</v>
      </c>
      <c r="W222" s="40">
        <f>('OPEB Amounts_Report'!G222-'OPEB Amounts_Report'!M222)</f>
        <v>-17884382</v>
      </c>
      <c r="X222" s="109">
        <f t="shared" si="48"/>
        <v>0</v>
      </c>
    </row>
    <row r="223" spans="1:24">
      <c r="A223" s="22">
        <v>2318</v>
      </c>
      <c r="B223" s="23" t="s">
        <v>207</v>
      </c>
      <c r="C223" s="39">
        <f t="shared" si="43"/>
        <v>-192546</v>
      </c>
      <c r="D223" s="39">
        <f t="shared" si="44"/>
        <v>-146731</v>
      </c>
      <c r="E223" s="39">
        <f t="shared" si="45"/>
        <v>-81341</v>
      </c>
      <c r="F223" s="39">
        <f t="shared" si="46"/>
        <v>-86937</v>
      </c>
      <c r="G223" s="39">
        <f t="shared" si="47"/>
        <v>-22992</v>
      </c>
      <c r="I223" s="41"/>
      <c r="K223" s="40">
        <f>ROUND(VLOOKUP($A223,'Contribution Allocation_Report'!$A$9:$D$314,4,FALSE)*$K$321,0)</f>
        <v>-175368</v>
      </c>
      <c r="L223" s="40">
        <f>ROUND(VLOOKUP($A223,'Contribution Allocation_Report'!$A$9:$D$314,4,FALSE)*$L$321,0)</f>
        <v>-118234</v>
      </c>
      <c r="M223" s="40">
        <f>ROUND(VLOOKUP($A223,'Contribution Allocation_Report'!$A$9:$D$314,4,FALSE)*$M$321,0)</f>
        <v>-37924</v>
      </c>
      <c r="N223" s="40">
        <f>ROUND(VLOOKUP($A223,'Contribution Allocation_Report'!$A$9:$D$314,4,FALSE)*$N$321,0)</f>
        <v>1561</v>
      </c>
      <c r="O223" s="40">
        <f>ROUND(VLOOKUP($A223,'Contribution Allocation_Report'!$A$9:$D$314,4,FALSE)*$O$321,0)</f>
        <v>-4213</v>
      </c>
      <c r="Q223" s="40">
        <f>+VLOOKUP(A223,'Change in Proportion Layers'!$AK$8:$AP$318,2,FALSE)+K223</f>
        <v>-192546</v>
      </c>
      <c r="R223" s="40">
        <f>+VLOOKUP(A223,'Change in Proportion Layers'!$AK$8:$AP$318,3,FALSE)+L223</f>
        <v>-146731</v>
      </c>
      <c r="S223" s="40">
        <f>+VLOOKUP(A223,'Change in Proportion Layers'!$AK$8:$AP$318,4,FALSE)+M223</f>
        <v>-81341</v>
      </c>
      <c r="T223" s="40">
        <f>+VLOOKUP(A223,'Change in Proportion Layers'!$AK$8:$AP$318,5,FALSE)+N223</f>
        <v>-86937</v>
      </c>
      <c r="U223" s="40">
        <f>+VLOOKUP(A223,'Change in Proportion Layers'!$AK$8:$AP$318,6,FALSE)+O223</f>
        <v>-22992</v>
      </c>
      <c r="W223" s="40">
        <f>('OPEB Amounts_Report'!G223-'OPEB Amounts_Report'!M223)</f>
        <v>-530547</v>
      </c>
      <c r="X223" s="109">
        <f t="shared" si="48"/>
        <v>0</v>
      </c>
    </row>
    <row r="224" spans="1:24">
      <c r="A224" s="24">
        <v>3250</v>
      </c>
      <c r="B224" s="3" t="s">
        <v>208</v>
      </c>
      <c r="C224" s="38">
        <f t="shared" si="43"/>
        <v>-301610</v>
      </c>
      <c r="D224" s="38">
        <f t="shared" si="44"/>
        <v>-199898</v>
      </c>
      <c r="E224" s="38">
        <f t="shared" si="45"/>
        <v>-91064</v>
      </c>
      <c r="F224" s="38">
        <f t="shared" si="46"/>
        <v>-14880</v>
      </c>
      <c r="G224" s="38">
        <f t="shared" si="47"/>
        <v>-1598</v>
      </c>
      <c r="I224" s="41"/>
      <c r="K224" s="40">
        <f>ROUND(VLOOKUP($A224,'Contribution Allocation_Report'!$A$9:$D$314,4,FALSE)*$K$321,0)</f>
        <v>-263174</v>
      </c>
      <c r="L224" s="40">
        <f>ROUND(VLOOKUP($A224,'Contribution Allocation_Report'!$A$9:$D$314,4,FALSE)*$L$321,0)</f>
        <v>-177433</v>
      </c>
      <c r="M224" s="40">
        <f>ROUND(VLOOKUP($A224,'Contribution Allocation_Report'!$A$9:$D$314,4,FALSE)*$M$321,0)</f>
        <v>-56912</v>
      </c>
      <c r="N224" s="40">
        <f>ROUND(VLOOKUP($A224,'Contribution Allocation_Report'!$A$9:$D$314,4,FALSE)*$N$321,0)</f>
        <v>2343</v>
      </c>
      <c r="O224" s="40">
        <f>ROUND(VLOOKUP($A224,'Contribution Allocation_Report'!$A$9:$D$314,4,FALSE)*$O$321,0)</f>
        <v>-6323</v>
      </c>
      <c r="Q224" s="40">
        <f>+VLOOKUP(A224,'Change in Proportion Layers'!$AK$8:$AP$318,2,FALSE)+K224</f>
        <v>-301610</v>
      </c>
      <c r="R224" s="40">
        <f>+VLOOKUP(A224,'Change in Proportion Layers'!$AK$8:$AP$318,3,FALSE)+L224</f>
        <v>-199898</v>
      </c>
      <c r="S224" s="40">
        <f>+VLOOKUP(A224,'Change in Proportion Layers'!$AK$8:$AP$318,4,FALSE)+M224</f>
        <v>-91064</v>
      </c>
      <c r="T224" s="40">
        <f>+VLOOKUP(A224,'Change in Proportion Layers'!$AK$8:$AP$318,5,FALSE)+N224</f>
        <v>-14880</v>
      </c>
      <c r="U224" s="40">
        <f>+VLOOKUP(A224,'Change in Proportion Layers'!$AK$8:$AP$318,6,FALSE)+O224-1</f>
        <v>-1598</v>
      </c>
      <c r="W224" s="40">
        <f>('OPEB Amounts_Report'!G224-'OPEB Amounts_Report'!M224)</f>
        <v>-609050</v>
      </c>
      <c r="X224" s="109">
        <f t="shared" si="48"/>
        <v>0</v>
      </c>
    </row>
    <row r="225" spans="1:24">
      <c r="A225" s="22">
        <v>2313</v>
      </c>
      <c r="B225" s="23" t="s">
        <v>209</v>
      </c>
      <c r="C225" s="37">
        <f t="shared" si="43"/>
        <v>-18684</v>
      </c>
      <c r="D225" s="37">
        <f t="shared" si="44"/>
        <v>-12785</v>
      </c>
      <c r="E225" s="37">
        <f t="shared" si="45"/>
        <v>-8011</v>
      </c>
      <c r="F225" s="37">
        <f t="shared" si="46"/>
        <v>-827</v>
      </c>
      <c r="G225" s="37">
        <f t="shared" si="47"/>
        <v>-3042</v>
      </c>
      <c r="I225" s="41"/>
      <c r="K225" s="40">
        <f>ROUND(VLOOKUP($A225,'Contribution Allocation_Report'!$A$9:$D$314,4,FALSE)*$K$321,0)</f>
        <v>-34720</v>
      </c>
      <c r="L225" s="40">
        <f>ROUND(VLOOKUP($A225,'Contribution Allocation_Report'!$A$9:$D$314,4,FALSE)*$L$321,0)</f>
        <v>-23408</v>
      </c>
      <c r="M225" s="40">
        <f>ROUND(VLOOKUP($A225,'Contribution Allocation_Report'!$A$9:$D$314,4,FALSE)*$M$321,0)</f>
        <v>-7508</v>
      </c>
      <c r="N225" s="40">
        <f>ROUND(VLOOKUP($A225,'Contribution Allocation_Report'!$A$9:$D$314,4,FALSE)*$N$321,0)</f>
        <v>309</v>
      </c>
      <c r="O225" s="40">
        <f>ROUND(VLOOKUP($A225,'Contribution Allocation_Report'!$A$9:$D$314,4,FALSE)*$O$321,0)</f>
        <v>-834</v>
      </c>
      <c r="Q225" s="40">
        <f>+VLOOKUP(A225,'Change in Proportion Layers'!$AK$8:$AP$318,2,FALSE)+K225</f>
        <v>-18684</v>
      </c>
      <c r="R225" s="40">
        <f>+VLOOKUP(A225,'Change in Proportion Layers'!$AK$8:$AP$318,3,FALSE)+L225</f>
        <v>-12785</v>
      </c>
      <c r="S225" s="40">
        <f>+VLOOKUP(A225,'Change in Proportion Layers'!$AK$8:$AP$318,4,FALSE)+M225</f>
        <v>-8011</v>
      </c>
      <c r="T225" s="40">
        <f>+VLOOKUP(A225,'Change in Proportion Layers'!$AK$8:$AP$318,5,FALSE)+N225</f>
        <v>-827</v>
      </c>
      <c r="U225" s="40">
        <f>+VLOOKUP(A225,'Change in Proportion Layers'!$AK$8:$AP$318,6,FALSE)+O225-1</f>
        <v>-3042</v>
      </c>
      <c r="W225" s="40">
        <f>('OPEB Amounts_Report'!G225-'OPEB Amounts_Report'!M225)</f>
        <v>-43349</v>
      </c>
      <c r="X225" s="109">
        <f t="shared" si="48"/>
        <v>0</v>
      </c>
    </row>
    <row r="226" spans="1:24">
      <c r="A226" s="24">
        <v>4011</v>
      </c>
      <c r="B226" s="3" t="s">
        <v>210</v>
      </c>
      <c r="C226" s="38">
        <f t="shared" si="43"/>
        <v>-4783752</v>
      </c>
      <c r="D226" s="38">
        <f t="shared" si="44"/>
        <v>-3345482</v>
      </c>
      <c r="E226" s="38">
        <f t="shared" si="45"/>
        <v>-1227768</v>
      </c>
      <c r="F226" s="38">
        <f t="shared" si="46"/>
        <v>-229977</v>
      </c>
      <c r="G226" s="38">
        <f t="shared" si="47"/>
        <v>-198030</v>
      </c>
      <c r="I226" s="41"/>
      <c r="K226" s="40">
        <f>ROUND(VLOOKUP($A226,'Contribution Allocation_Report'!$A$9:$D$314,4,FALSE)*$K$321,0)</f>
        <v>-5222465</v>
      </c>
      <c r="L226" s="40">
        <f>ROUND(VLOOKUP($A226,'Contribution Allocation_Report'!$A$9:$D$314,4,FALSE)*$L$321,0)</f>
        <v>-3521012</v>
      </c>
      <c r="M226" s="40">
        <f>ROUND(VLOOKUP($A226,'Contribution Allocation_Report'!$A$9:$D$314,4,FALSE)*$M$321,0)</f>
        <v>-1129366</v>
      </c>
      <c r="N226" s="40">
        <f>ROUND(VLOOKUP($A226,'Contribution Allocation_Report'!$A$9:$D$314,4,FALSE)*$N$321,0)</f>
        <v>46491</v>
      </c>
      <c r="O226" s="40">
        <f>ROUND(VLOOKUP($A226,'Contribution Allocation_Report'!$A$9:$D$314,4,FALSE)*$O$321,0)</f>
        <v>-125478</v>
      </c>
      <c r="Q226" s="40">
        <f>+VLOOKUP(A226,'Change in Proportion Layers'!$AK$8:$AP$318,2,FALSE)+K226</f>
        <v>-4783752</v>
      </c>
      <c r="R226" s="40">
        <f>+VLOOKUP(A226,'Change in Proportion Layers'!$AK$8:$AP$318,3,FALSE)+L226</f>
        <v>-3345482</v>
      </c>
      <c r="S226" s="40">
        <f>+VLOOKUP(A226,'Change in Proportion Layers'!$AK$8:$AP$318,4,FALSE)+M226</f>
        <v>-1227768</v>
      </c>
      <c r="T226" s="40">
        <f>+VLOOKUP(A226,'Change in Proportion Layers'!$AK$8:$AP$318,5,FALSE)+N226</f>
        <v>-229977</v>
      </c>
      <c r="U226" s="40">
        <f>+VLOOKUP(A226,'Change in Proportion Layers'!$AK$8:$AP$318,6,FALSE)+O226+1</f>
        <v>-198030</v>
      </c>
      <c r="W226" s="40">
        <f>('OPEB Amounts_Report'!G226-'OPEB Amounts_Report'!M226)</f>
        <v>-9785009</v>
      </c>
      <c r="X226" s="109">
        <f t="shared" si="48"/>
        <v>0</v>
      </c>
    </row>
    <row r="227" spans="1:24">
      <c r="A227" s="22">
        <v>31092</v>
      </c>
      <c r="B227" s="23" t="s">
        <v>211</v>
      </c>
      <c r="C227" s="37">
        <f t="shared" si="43"/>
        <v>-74891</v>
      </c>
      <c r="D227" s="37">
        <f t="shared" si="44"/>
        <v>-55977</v>
      </c>
      <c r="E227" s="37">
        <f t="shared" si="45"/>
        <v>-28452</v>
      </c>
      <c r="F227" s="37">
        <f t="shared" si="46"/>
        <v>5667</v>
      </c>
      <c r="G227" s="37">
        <f t="shared" si="47"/>
        <v>-250</v>
      </c>
      <c r="I227" s="41"/>
      <c r="K227" s="40">
        <f>ROUND(VLOOKUP($A227,'Contribution Allocation_Report'!$A$9:$D$314,4,FALSE)*$K$321,0)</f>
        <v>-84322</v>
      </c>
      <c r="L227" s="40">
        <f>ROUND(VLOOKUP($A227,'Contribution Allocation_Report'!$A$9:$D$314,4,FALSE)*$L$321,0)</f>
        <v>-56850</v>
      </c>
      <c r="M227" s="40">
        <f>ROUND(VLOOKUP($A227,'Contribution Allocation_Report'!$A$9:$D$314,4,FALSE)*$M$321,0)</f>
        <v>-18235</v>
      </c>
      <c r="N227" s="40">
        <f>ROUND(VLOOKUP($A227,'Contribution Allocation_Report'!$A$9:$D$314,4,FALSE)*$N$321,0)</f>
        <v>751</v>
      </c>
      <c r="O227" s="40">
        <f>ROUND(VLOOKUP($A227,'Contribution Allocation_Report'!$A$9:$D$314,4,FALSE)*$O$321,0)</f>
        <v>-2026</v>
      </c>
      <c r="Q227" s="40">
        <f>+VLOOKUP(A227,'Change in Proportion Layers'!$AK$8:$AP$318,2,FALSE)+K227</f>
        <v>-74891</v>
      </c>
      <c r="R227" s="40">
        <f>+VLOOKUP(A227,'Change in Proportion Layers'!$AK$8:$AP$318,3,FALSE)+L227</f>
        <v>-55977</v>
      </c>
      <c r="S227" s="40">
        <f>+VLOOKUP(A227,'Change in Proportion Layers'!$AK$8:$AP$318,4,FALSE)+M227</f>
        <v>-28452</v>
      </c>
      <c r="T227" s="40">
        <f>+VLOOKUP(A227,'Change in Proportion Layers'!$AK$8:$AP$318,5,FALSE)+N227</f>
        <v>5667</v>
      </c>
      <c r="U227" s="40">
        <f>+VLOOKUP(A227,'Change in Proportion Layers'!$AK$8:$AP$318,6,FALSE)+O227+1</f>
        <v>-250</v>
      </c>
      <c r="W227" s="40">
        <f>('OPEB Amounts_Report'!G227-'OPEB Amounts_Report'!M227)</f>
        <v>-153903</v>
      </c>
      <c r="X227" s="109">
        <f t="shared" si="48"/>
        <v>0</v>
      </c>
    </row>
    <row r="228" spans="1:24">
      <c r="A228" s="24">
        <v>26081</v>
      </c>
      <c r="B228" s="3" t="s">
        <v>212</v>
      </c>
      <c r="C228" s="38">
        <f t="shared" si="43"/>
        <v>-956278</v>
      </c>
      <c r="D228" s="38">
        <f t="shared" si="44"/>
        <v>-586110</v>
      </c>
      <c r="E228" s="38">
        <f t="shared" si="45"/>
        <v>-134976</v>
      </c>
      <c r="F228" s="38">
        <f t="shared" si="46"/>
        <v>-93428</v>
      </c>
      <c r="G228" s="38">
        <f t="shared" si="47"/>
        <v>-88031</v>
      </c>
      <c r="I228" s="41"/>
      <c r="K228" s="40">
        <f>ROUND(VLOOKUP($A228,'Contribution Allocation_Report'!$A$9:$D$314,4,FALSE)*$K$321,0)</f>
        <v>-898873</v>
      </c>
      <c r="L228" s="40">
        <f>ROUND(VLOOKUP($A228,'Contribution Allocation_Report'!$A$9:$D$314,4,FALSE)*$L$321,0)</f>
        <v>-606025</v>
      </c>
      <c r="M228" s="40">
        <f>ROUND(VLOOKUP($A228,'Contribution Allocation_Report'!$A$9:$D$314,4,FALSE)*$M$321,0)</f>
        <v>-194383</v>
      </c>
      <c r="N228" s="40">
        <f>ROUND(VLOOKUP($A228,'Contribution Allocation_Report'!$A$9:$D$314,4,FALSE)*$N$321,0)</f>
        <v>8002</v>
      </c>
      <c r="O228" s="40">
        <f>ROUND(VLOOKUP($A228,'Contribution Allocation_Report'!$A$9:$D$314,4,FALSE)*$O$321,0)</f>
        <v>-21597</v>
      </c>
      <c r="Q228" s="40">
        <f>+VLOOKUP(A228,'Change in Proportion Layers'!$AK$8:$AP$318,2,FALSE)+K228</f>
        <v>-956278</v>
      </c>
      <c r="R228" s="40">
        <f>+VLOOKUP(A228,'Change in Proportion Layers'!$AK$8:$AP$318,3,FALSE)+L228</f>
        <v>-586110</v>
      </c>
      <c r="S228" s="40">
        <f>+VLOOKUP(A228,'Change in Proportion Layers'!$AK$8:$AP$318,4,FALSE)+M228</f>
        <v>-134976</v>
      </c>
      <c r="T228" s="40">
        <f>+VLOOKUP(A228,'Change in Proportion Layers'!$AK$8:$AP$318,5,FALSE)+N228</f>
        <v>-93428</v>
      </c>
      <c r="U228" s="40">
        <f>+VLOOKUP(A228,'Change in Proportion Layers'!$AK$8:$AP$318,6,FALSE)+O228</f>
        <v>-88031</v>
      </c>
      <c r="W228" s="40">
        <f>('OPEB Amounts_Report'!G228-'OPEB Amounts_Report'!M228)</f>
        <v>-1858823</v>
      </c>
      <c r="X228" s="109">
        <f t="shared" si="48"/>
        <v>0</v>
      </c>
    </row>
    <row r="229" spans="1:24">
      <c r="A229" s="22">
        <v>29305</v>
      </c>
      <c r="B229" s="23" t="s">
        <v>213</v>
      </c>
      <c r="C229" s="37">
        <f t="shared" si="43"/>
        <v>-96418</v>
      </c>
      <c r="D229" s="37">
        <f t="shared" si="44"/>
        <v>-68218</v>
      </c>
      <c r="E229" s="37">
        <f t="shared" si="45"/>
        <v>-28052</v>
      </c>
      <c r="F229" s="37">
        <f t="shared" si="46"/>
        <v>-9528</v>
      </c>
      <c r="G229" s="37">
        <f t="shared" si="47"/>
        <v>-15559</v>
      </c>
      <c r="I229" s="41"/>
      <c r="K229" s="40">
        <f>ROUND(VLOOKUP($A229,'Contribution Allocation_Report'!$A$9:$D$314,4,FALSE)*$K$321,0)</f>
        <v>-48566</v>
      </c>
      <c r="L229" s="40">
        <f>ROUND(VLOOKUP($A229,'Contribution Allocation_Report'!$A$9:$D$314,4,FALSE)*$L$321,0)</f>
        <v>-32744</v>
      </c>
      <c r="M229" s="40">
        <f>ROUND(VLOOKUP($A229,'Contribution Allocation_Report'!$A$9:$D$314,4,FALSE)*$M$321,0)</f>
        <v>-10503</v>
      </c>
      <c r="N229" s="40">
        <f>ROUND(VLOOKUP($A229,'Contribution Allocation_Report'!$A$9:$D$314,4,FALSE)*$N$321,0)</f>
        <v>432</v>
      </c>
      <c r="O229" s="40">
        <f>ROUND(VLOOKUP($A229,'Contribution Allocation_Report'!$A$9:$D$314,4,FALSE)*$O$321,0)</f>
        <v>-1167</v>
      </c>
      <c r="Q229" s="40">
        <f>+VLOOKUP(A229,'Change in Proportion Layers'!$AK$8:$AP$318,2,FALSE)+K229</f>
        <v>-96418</v>
      </c>
      <c r="R229" s="40">
        <f>+VLOOKUP(A229,'Change in Proportion Layers'!$AK$8:$AP$318,3,FALSE)+L229</f>
        <v>-68218</v>
      </c>
      <c r="S229" s="40">
        <f>+VLOOKUP(A229,'Change in Proportion Layers'!$AK$8:$AP$318,4,FALSE)+M229</f>
        <v>-28052</v>
      </c>
      <c r="T229" s="40">
        <f>+VLOOKUP(A229,'Change in Proportion Layers'!$AK$8:$AP$318,5,FALSE)+N229</f>
        <v>-9528</v>
      </c>
      <c r="U229" s="40">
        <f>+VLOOKUP(A229,'Change in Proportion Layers'!$AK$8:$AP$318,6,FALSE)+O229+2</f>
        <v>-15559</v>
      </c>
      <c r="W229" s="40">
        <f>('OPEB Amounts_Report'!G229-'OPEB Amounts_Report'!M229)</f>
        <v>-217775</v>
      </c>
      <c r="X229" s="109">
        <f t="shared" si="48"/>
        <v>0</v>
      </c>
    </row>
    <row r="230" spans="1:24">
      <c r="A230" s="24">
        <v>10032</v>
      </c>
      <c r="B230" s="3" t="s">
        <v>214</v>
      </c>
      <c r="C230" s="38">
        <f t="shared" si="43"/>
        <v>-105171</v>
      </c>
      <c r="D230" s="38">
        <f t="shared" si="44"/>
        <v>-62548</v>
      </c>
      <c r="E230" s="38">
        <f t="shared" si="45"/>
        <v>-3206</v>
      </c>
      <c r="F230" s="38">
        <f t="shared" si="46"/>
        <v>12751</v>
      </c>
      <c r="G230" s="38">
        <f t="shared" si="47"/>
        <v>-7904</v>
      </c>
      <c r="I230" s="41"/>
      <c r="K230" s="40">
        <f>ROUND(VLOOKUP($A230,'Contribution Allocation_Report'!$A$9:$D$314,4,FALSE)*$K$321,0)</f>
        <v>-114573</v>
      </c>
      <c r="L230" s="40">
        <f>ROUND(VLOOKUP($A230,'Contribution Allocation_Report'!$A$9:$D$314,4,FALSE)*$L$321,0)</f>
        <v>-77246</v>
      </c>
      <c r="M230" s="40">
        <f>ROUND(VLOOKUP($A230,'Contribution Allocation_Report'!$A$9:$D$314,4,FALSE)*$M$321,0)</f>
        <v>-24777</v>
      </c>
      <c r="N230" s="40">
        <f>ROUND(VLOOKUP($A230,'Contribution Allocation_Report'!$A$9:$D$314,4,FALSE)*$N$321,0)</f>
        <v>1020</v>
      </c>
      <c r="O230" s="40">
        <f>ROUND(VLOOKUP($A230,'Contribution Allocation_Report'!$A$9:$D$314,4,FALSE)*$O$321,0)</f>
        <v>-2753</v>
      </c>
      <c r="Q230" s="40">
        <f>+VLOOKUP(A230,'Change in Proportion Layers'!$AK$8:$AP$318,2,FALSE)+K230</f>
        <v>-105171</v>
      </c>
      <c r="R230" s="40">
        <f>+VLOOKUP(A230,'Change in Proportion Layers'!$AK$8:$AP$318,3,FALSE)+L230</f>
        <v>-62548</v>
      </c>
      <c r="S230" s="40">
        <f>+VLOOKUP(A230,'Change in Proportion Layers'!$AK$8:$AP$318,4,FALSE)+M230</f>
        <v>-3206</v>
      </c>
      <c r="T230" s="40">
        <f>+VLOOKUP(A230,'Change in Proportion Layers'!$AK$8:$AP$318,5,FALSE)+N230</f>
        <v>12751</v>
      </c>
      <c r="U230" s="40">
        <f>+VLOOKUP(A230,'Change in Proportion Layers'!$AK$8:$AP$318,6,FALSE)+O230</f>
        <v>-7904</v>
      </c>
      <c r="W230" s="40">
        <f>('OPEB Amounts_Report'!G230-'OPEB Amounts_Report'!M230)</f>
        <v>-166078</v>
      </c>
      <c r="X230" s="109">
        <f t="shared" si="48"/>
        <v>0</v>
      </c>
    </row>
    <row r="231" spans="1:24">
      <c r="A231" s="22">
        <v>32107</v>
      </c>
      <c r="B231" s="23" t="s">
        <v>215</v>
      </c>
      <c r="C231" s="37">
        <f t="shared" si="43"/>
        <v>-135833</v>
      </c>
      <c r="D231" s="37">
        <f t="shared" si="44"/>
        <v>-75021</v>
      </c>
      <c r="E231" s="37">
        <f t="shared" si="45"/>
        <v>3480</v>
      </c>
      <c r="F231" s="37">
        <f t="shared" si="46"/>
        <v>-2946</v>
      </c>
      <c r="G231" s="37">
        <f t="shared" si="47"/>
        <v>-8972</v>
      </c>
      <c r="I231" s="41"/>
      <c r="K231" s="40">
        <f>ROUND(VLOOKUP($A231,'Contribution Allocation_Report'!$A$9:$D$314,4,FALSE)*$K$321,0)</f>
        <v>-146200</v>
      </c>
      <c r="L231" s="40">
        <f>ROUND(VLOOKUP($A231,'Contribution Allocation_Report'!$A$9:$D$314,4,FALSE)*$L$321,0)</f>
        <v>-98569</v>
      </c>
      <c r="M231" s="40">
        <f>ROUND(VLOOKUP($A231,'Contribution Allocation_Report'!$A$9:$D$314,4,FALSE)*$M$321,0)</f>
        <v>-31616</v>
      </c>
      <c r="N231" s="40">
        <f>ROUND(VLOOKUP($A231,'Contribution Allocation_Report'!$A$9:$D$314,4,FALSE)*$N$321,0)</f>
        <v>1301</v>
      </c>
      <c r="O231" s="40">
        <f>ROUND(VLOOKUP($A231,'Contribution Allocation_Report'!$A$9:$D$314,4,FALSE)*$O$321,0)</f>
        <v>-3513</v>
      </c>
      <c r="Q231" s="40">
        <f>+VLOOKUP(A231,'Change in Proportion Layers'!$AK$8:$AP$318,2,FALSE)+K231</f>
        <v>-135833</v>
      </c>
      <c r="R231" s="40">
        <f>+VLOOKUP(A231,'Change in Proportion Layers'!$AK$8:$AP$318,3,FALSE)+L231</f>
        <v>-75021</v>
      </c>
      <c r="S231" s="40">
        <f>+VLOOKUP(A231,'Change in Proportion Layers'!$AK$8:$AP$318,4,FALSE)+M231</f>
        <v>3480</v>
      </c>
      <c r="T231" s="40">
        <f>+VLOOKUP(A231,'Change in Proportion Layers'!$AK$8:$AP$318,5,FALSE)+N231</f>
        <v>-2946</v>
      </c>
      <c r="U231" s="40">
        <f>+VLOOKUP(A231,'Change in Proportion Layers'!$AK$8:$AP$318,6,FALSE)+O231+1</f>
        <v>-8972</v>
      </c>
      <c r="W231" s="40">
        <f>('OPEB Amounts_Report'!G231-'OPEB Amounts_Report'!M231)</f>
        <v>-219292</v>
      </c>
      <c r="X231" s="109">
        <f t="shared" si="48"/>
        <v>0</v>
      </c>
    </row>
    <row r="232" spans="1:24">
      <c r="A232" s="24">
        <v>3260</v>
      </c>
      <c r="B232" s="3" t="s">
        <v>216</v>
      </c>
      <c r="C232" s="38">
        <f t="shared" si="43"/>
        <v>-2867678</v>
      </c>
      <c r="D232" s="38">
        <f t="shared" si="44"/>
        <v>-1937867</v>
      </c>
      <c r="E232" s="38">
        <f t="shared" si="45"/>
        <v>-626486</v>
      </c>
      <c r="F232" s="38">
        <f t="shared" si="46"/>
        <v>28807</v>
      </c>
      <c r="G232" s="38">
        <f t="shared" si="47"/>
        <v>-3331</v>
      </c>
      <c r="I232" s="41"/>
      <c r="K232" s="40">
        <f>ROUND(VLOOKUP($A232,'Contribution Allocation_Report'!$A$9:$D$314,4,FALSE)*$K$321,0)</f>
        <v>-2188232</v>
      </c>
      <c r="L232" s="40">
        <f>ROUND(VLOOKUP($A232,'Contribution Allocation_Report'!$A$9:$D$314,4,FALSE)*$L$321,0)</f>
        <v>-1475317</v>
      </c>
      <c r="M232" s="40">
        <f>ROUND(VLOOKUP($A232,'Contribution Allocation_Report'!$A$9:$D$314,4,FALSE)*$M$321,0)</f>
        <v>-473208</v>
      </c>
      <c r="N232" s="40">
        <f>ROUND(VLOOKUP($A232,'Contribution Allocation_Report'!$A$9:$D$314,4,FALSE)*$N$321,0)</f>
        <v>19480</v>
      </c>
      <c r="O232" s="40">
        <f>ROUND(VLOOKUP($A232,'Contribution Allocation_Report'!$A$9:$D$314,4,FALSE)*$O$321,0)</f>
        <v>-52576</v>
      </c>
      <c r="Q232" s="40">
        <f>+VLOOKUP(A232,'Change in Proportion Layers'!$AK$8:$AP$318,2,FALSE)+K232</f>
        <v>-2867678</v>
      </c>
      <c r="R232" s="40">
        <f>+VLOOKUP(A232,'Change in Proportion Layers'!$AK$8:$AP$318,3,FALSE)+L232</f>
        <v>-1937867</v>
      </c>
      <c r="S232" s="40">
        <f>+VLOOKUP(A232,'Change in Proportion Layers'!$AK$8:$AP$318,4,FALSE)+M232</f>
        <v>-626486</v>
      </c>
      <c r="T232" s="40">
        <f>+VLOOKUP(A232,'Change in Proportion Layers'!$AK$8:$AP$318,5,FALSE)+N232</f>
        <v>28807</v>
      </c>
      <c r="U232" s="40">
        <f>+VLOOKUP(A232,'Change in Proportion Layers'!$AK$8:$AP$318,6,FALSE)+O232-1</f>
        <v>-3331</v>
      </c>
      <c r="W232" s="40">
        <f>('OPEB Amounts_Report'!G232-'OPEB Amounts_Report'!M232)</f>
        <v>-5406555</v>
      </c>
      <c r="X232" s="109">
        <f t="shared" si="48"/>
        <v>0</v>
      </c>
    </row>
    <row r="233" spans="1:24">
      <c r="A233" s="22">
        <v>4390</v>
      </c>
      <c r="B233" s="23" t="s">
        <v>217</v>
      </c>
      <c r="C233" s="37">
        <f t="shared" si="43"/>
        <v>-23645</v>
      </c>
      <c r="D233" s="37">
        <f t="shared" si="44"/>
        <v>-18660</v>
      </c>
      <c r="E233" s="37">
        <f t="shared" si="45"/>
        <v>-3499</v>
      </c>
      <c r="F233" s="37">
        <f t="shared" si="46"/>
        <v>10074</v>
      </c>
      <c r="G233" s="37">
        <f t="shared" si="47"/>
        <v>2156</v>
      </c>
      <c r="I233" s="41"/>
      <c r="K233" s="40">
        <f>ROUND(VLOOKUP($A233,'Contribution Allocation_Report'!$A$9:$D$314,4,FALSE)*$K$321,0)</f>
        <v>-26261</v>
      </c>
      <c r="L233" s="40">
        <f>ROUND(VLOOKUP($A233,'Contribution Allocation_Report'!$A$9:$D$314,4,FALSE)*$L$321,0)</f>
        <v>-17705</v>
      </c>
      <c r="M233" s="40">
        <f>ROUND(VLOOKUP($A233,'Contribution Allocation_Report'!$A$9:$D$314,4,FALSE)*$M$321,0)</f>
        <v>-5679</v>
      </c>
      <c r="N233" s="40">
        <f>ROUND(VLOOKUP($A233,'Contribution Allocation_Report'!$A$9:$D$314,4,FALSE)*$N$321,0)</f>
        <v>234</v>
      </c>
      <c r="O233" s="40">
        <f>ROUND(VLOOKUP($A233,'Contribution Allocation_Report'!$A$9:$D$314,4,FALSE)*$O$321,0)</f>
        <v>-631</v>
      </c>
      <c r="Q233" s="40">
        <f>+VLOOKUP(A233,'Change in Proportion Layers'!$AK$8:$AP$318,2,FALSE)+K233</f>
        <v>-23645</v>
      </c>
      <c r="R233" s="40">
        <f>+VLOOKUP(A233,'Change in Proportion Layers'!$AK$8:$AP$318,3,FALSE)+L233</f>
        <v>-18660</v>
      </c>
      <c r="S233" s="40">
        <f>+VLOOKUP(A233,'Change in Proportion Layers'!$AK$8:$AP$318,4,FALSE)+M233</f>
        <v>-3499</v>
      </c>
      <c r="T233" s="40">
        <f>+VLOOKUP(A233,'Change in Proportion Layers'!$AK$8:$AP$318,5,FALSE)+N233</f>
        <v>10074</v>
      </c>
      <c r="U233" s="40">
        <f>+VLOOKUP(A233,'Change in Proportion Layers'!$AK$8:$AP$318,6,FALSE)+O233</f>
        <v>2156</v>
      </c>
      <c r="W233" s="40">
        <f>('OPEB Amounts_Report'!G233-'OPEB Amounts_Report'!M233)</f>
        <v>-33574</v>
      </c>
      <c r="X233" s="109">
        <f t="shared" si="48"/>
        <v>0</v>
      </c>
    </row>
    <row r="234" spans="1:24">
      <c r="A234" s="24">
        <v>3270</v>
      </c>
      <c r="B234" s="3" t="s">
        <v>218</v>
      </c>
      <c r="C234" s="38">
        <f t="shared" si="43"/>
        <v>-393573</v>
      </c>
      <c r="D234" s="38">
        <f t="shared" si="44"/>
        <v>-250471</v>
      </c>
      <c r="E234" s="38">
        <f t="shared" si="45"/>
        <v>-74254</v>
      </c>
      <c r="F234" s="38">
        <f t="shared" si="46"/>
        <v>-31768</v>
      </c>
      <c r="G234" s="38">
        <f t="shared" si="47"/>
        <v>652</v>
      </c>
      <c r="I234" s="41"/>
      <c r="K234" s="40">
        <f>ROUND(VLOOKUP($A234,'Contribution Allocation_Report'!$A$9:$D$314,4,FALSE)*$K$321,0)</f>
        <v>-334111</v>
      </c>
      <c r="L234" s="40">
        <f>ROUND(VLOOKUP($A234,'Contribution Allocation_Report'!$A$9:$D$314,4,FALSE)*$L$321,0)</f>
        <v>-225260</v>
      </c>
      <c r="M234" s="40">
        <f>ROUND(VLOOKUP($A234,'Contribution Allocation_Report'!$A$9:$D$314,4,FALSE)*$M$321,0)</f>
        <v>-72252</v>
      </c>
      <c r="N234" s="40">
        <f>ROUND(VLOOKUP($A234,'Contribution Allocation_Report'!$A$9:$D$314,4,FALSE)*$N$321,0)</f>
        <v>2974</v>
      </c>
      <c r="O234" s="40">
        <f>ROUND(VLOOKUP($A234,'Contribution Allocation_Report'!$A$9:$D$314,4,FALSE)*$O$321,0)</f>
        <v>-8028</v>
      </c>
      <c r="Q234" s="40">
        <f>+VLOOKUP(A234,'Change in Proportion Layers'!$AK$8:$AP$318,2,FALSE)+K234</f>
        <v>-393573</v>
      </c>
      <c r="R234" s="40">
        <f>+VLOOKUP(A234,'Change in Proportion Layers'!$AK$8:$AP$318,3,FALSE)+L234</f>
        <v>-250471</v>
      </c>
      <c r="S234" s="40">
        <f>+VLOOKUP(A234,'Change in Proportion Layers'!$AK$8:$AP$318,4,FALSE)+M234</f>
        <v>-74254</v>
      </c>
      <c r="T234" s="40">
        <f>+VLOOKUP(A234,'Change in Proportion Layers'!$AK$8:$AP$318,5,FALSE)+N234</f>
        <v>-31768</v>
      </c>
      <c r="U234" s="40">
        <f>+VLOOKUP(A234,'Change in Proportion Layers'!$AK$8:$AP$318,6,FALSE)+O234+1</f>
        <v>652</v>
      </c>
      <c r="W234" s="40">
        <f>('OPEB Amounts_Report'!G234-'OPEB Amounts_Report'!M234)</f>
        <v>-749414</v>
      </c>
      <c r="X234" s="109">
        <f t="shared" si="48"/>
        <v>0</v>
      </c>
    </row>
    <row r="235" spans="1:24">
      <c r="A235" s="22">
        <v>29303</v>
      </c>
      <c r="B235" s="23" t="s">
        <v>219</v>
      </c>
      <c r="C235" s="37">
        <f t="shared" si="43"/>
        <v>-40713</v>
      </c>
      <c r="D235" s="37">
        <f t="shared" si="44"/>
        <v>-35300</v>
      </c>
      <c r="E235" s="37">
        <f t="shared" si="45"/>
        <v>-28404</v>
      </c>
      <c r="F235" s="37">
        <f t="shared" si="46"/>
        <v>-20310</v>
      </c>
      <c r="G235" s="37">
        <f t="shared" si="47"/>
        <v>-19483</v>
      </c>
      <c r="I235" s="41"/>
      <c r="K235" s="40">
        <f>ROUND(VLOOKUP($A235,'Contribution Allocation_Report'!$A$9:$D$314,4,FALSE)*$K$321,0)</f>
        <v>-96799</v>
      </c>
      <c r="L235" s="40">
        <f>ROUND(VLOOKUP($A235,'Contribution Allocation_Report'!$A$9:$D$314,4,FALSE)*$L$321,0)</f>
        <v>-65263</v>
      </c>
      <c r="M235" s="40">
        <f>ROUND(VLOOKUP($A235,'Contribution Allocation_Report'!$A$9:$D$314,4,FALSE)*$M$321,0)</f>
        <v>-20933</v>
      </c>
      <c r="N235" s="40">
        <f>ROUND(VLOOKUP($A235,'Contribution Allocation_Report'!$A$9:$D$314,4,FALSE)*$N$321,0)</f>
        <v>862</v>
      </c>
      <c r="O235" s="40">
        <f>ROUND(VLOOKUP($A235,'Contribution Allocation_Report'!$A$9:$D$314,4,FALSE)*$O$321,0)</f>
        <v>-2326</v>
      </c>
      <c r="Q235" s="40">
        <f>+VLOOKUP(A235,'Change in Proportion Layers'!$AK$8:$AP$318,2,FALSE)+K235</f>
        <v>-40713</v>
      </c>
      <c r="R235" s="40">
        <f>+VLOOKUP(A235,'Change in Proportion Layers'!$AK$8:$AP$318,3,FALSE)+L235</f>
        <v>-35300</v>
      </c>
      <c r="S235" s="40">
        <f>+VLOOKUP(A235,'Change in Proportion Layers'!$AK$8:$AP$318,4,FALSE)+M235</f>
        <v>-28404</v>
      </c>
      <c r="T235" s="40">
        <f>+VLOOKUP(A235,'Change in Proportion Layers'!$AK$8:$AP$318,5,FALSE)+N235</f>
        <v>-20310</v>
      </c>
      <c r="U235" s="40">
        <f>+VLOOKUP(A235,'Change in Proportion Layers'!$AK$8:$AP$318,6,FALSE)+O235</f>
        <v>-19483</v>
      </c>
      <c r="W235" s="40">
        <f>('OPEB Amounts_Report'!G235-'OPEB Amounts_Report'!M235)</f>
        <v>-144210</v>
      </c>
      <c r="X235" s="109">
        <f t="shared" si="48"/>
        <v>0</v>
      </c>
    </row>
    <row r="236" spans="1:24">
      <c r="A236" s="24">
        <v>3280</v>
      </c>
      <c r="B236" s="3" t="s">
        <v>220</v>
      </c>
      <c r="C236" s="38">
        <f t="shared" si="43"/>
        <v>-1627041</v>
      </c>
      <c r="D236" s="38">
        <f t="shared" si="44"/>
        <v>-1232601</v>
      </c>
      <c r="E236" s="38">
        <f t="shared" si="45"/>
        <v>-360326</v>
      </c>
      <c r="F236" s="38">
        <f t="shared" si="46"/>
        <v>149613</v>
      </c>
      <c r="G236" s="38">
        <f t="shared" si="47"/>
        <v>33286</v>
      </c>
      <c r="I236" s="41"/>
      <c r="K236" s="40">
        <f>ROUND(VLOOKUP($A236,'Contribution Allocation_Report'!$A$9:$D$314,4,FALSE)*$K$321,0)</f>
        <v>-1717062</v>
      </c>
      <c r="L236" s="40">
        <f>ROUND(VLOOKUP($A236,'Contribution Allocation_Report'!$A$9:$D$314,4,FALSE)*$L$321,0)</f>
        <v>-1157652</v>
      </c>
      <c r="M236" s="40">
        <f>ROUND(VLOOKUP($A236,'Contribution Allocation_Report'!$A$9:$D$314,4,FALSE)*$M$321,0)</f>
        <v>-371317</v>
      </c>
      <c r="N236" s="40">
        <f>ROUND(VLOOKUP($A236,'Contribution Allocation_Report'!$A$9:$D$314,4,FALSE)*$N$321,0)</f>
        <v>15285</v>
      </c>
      <c r="O236" s="40">
        <f>ROUND(VLOOKUP($A236,'Contribution Allocation_Report'!$A$9:$D$314,4,FALSE)*$O$321,0)</f>
        <v>-41255</v>
      </c>
      <c r="Q236" s="40">
        <f>+VLOOKUP(A236,'Change in Proportion Layers'!$AK$8:$AP$318,2,FALSE)+K236</f>
        <v>-1627041</v>
      </c>
      <c r="R236" s="40">
        <f>+VLOOKUP(A236,'Change in Proportion Layers'!$AK$8:$AP$318,3,FALSE)+L236</f>
        <v>-1232601</v>
      </c>
      <c r="S236" s="40">
        <f>+VLOOKUP(A236,'Change in Proportion Layers'!$AK$8:$AP$318,4,FALSE)+M236</f>
        <v>-360326</v>
      </c>
      <c r="T236" s="40">
        <f>+VLOOKUP(A236,'Change in Proportion Layers'!$AK$8:$AP$318,5,FALSE)+N236</f>
        <v>149613</v>
      </c>
      <c r="U236" s="40">
        <f>+VLOOKUP(A236,'Change in Proportion Layers'!$AK$8:$AP$318,6,FALSE)+O236+1</f>
        <v>33286</v>
      </c>
      <c r="W236" s="40">
        <f>('OPEB Amounts_Report'!G236-'OPEB Amounts_Report'!M236)</f>
        <v>-3037069</v>
      </c>
      <c r="X236" s="109">
        <f t="shared" si="48"/>
        <v>0</v>
      </c>
    </row>
    <row r="237" spans="1:24">
      <c r="A237" s="22">
        <v>4260</v>
      </c>
      <c r="B237" s="23" t="s">
        <v>221</v>
      </c>
      <c r="C237" s="37">
        <f t="shared" si="43"/>
        <v>-138573</v>
      </c>
      <c r="D237" s="37">
        <f t="shared" si="44"/>
        <v>-87582</v>
      </c>
      <c r="E237" s="37">
        <f t="shared" si="45"/>
        <v>-53574</v>
      </c>
      <c r="F237" s="37">
        <f t="shared" si="46"/>
        <v>3626</v>
      </c>
      <c r="G237" s="37">
        <f t="shared" si="47"/>
        <v>-4554</v>
      </c>
      <c r="I237" s="41"/>
      <c r="K237" s="40">
        <f>ROUND(VLOOKUP($A237,'Contribution Allocation_Report'!$A$9:$D$314,4,FALSE)*$K$321,0)</f>
        <v>-125094</v>
      </c>
      <c r="L237" s="40">
        <f>ROUND(VLOOKUP($A237,'Contribution Allocation_Report'!$A$9:$D$314,4,FALSE)*$L$321,0)</f>
        <v>-84339</v>
      </c>
      <c r="M237" s="40">
        <f>ROUND(VLOOKUP($A237,'Contribution Allocation_Report'!$A$9:$D$314,4,FALSE)*$M$321,0)</f>
        <v>-27052</v>
      </c>
      <c r="N237" s="40">
        <f>ROUND(VLOOKUP($A237,'Contribution Allocation_Report'!$A$9:$D$314,4,FALSE)*$N$321,0)</f>
        <v>1114</v>
      </c>
      <c r="O237" s="40">
        <f>ROUND(VLOOKUP($A237,'Contribution Allocation_Report'!$A$9:$D$314,4,FALSE)*$O$321,0)</f>
        <v>-3006</v>
      </c>
      <c r="Q237" s="40">
        <f>+VLOOKUP(A237,'Change in Proportion Layers'!$AK$8:$AP$318,2,FALSE)+K237</f>
        <v>-138573</v>
      </c>
      <c r="R237" s="40">
        <f>+VLOOKUP(A237,'Change in Proportion Layers'!$AK$8:$AP$318,3,FALSE)+L237</f>
        <v>-87582</v>
      </c>
      <c r="S237" s="40">
        <f>+VLOOKUP(A237,'Change in Proportion Layers'!$AK$8:$AP$318,4,FALSE)+M237</f>
        <v>-53574</v>
      </c>
      <c r="T237" s="40">
        <f>+VLOOKUP(A237,'Change in Proportion Layers'!$AK$8:$AP$318,5,FALSE)+N237</f>
        <v>3626</v>
      </c>
      <c r="U237" s="40">
        <f>+VLOOKUP(A237,'Change in Proportion Layers'!$AK$8:$AP$318,6,FALSE)+O237-1</f>
        <v>-4554</v>
      </c>
      <c r="W237" s="40">
        <f>('OPEB Amounts_Report'!G237-'OPEB Amounts_Report'!M237)</f>
        <v>-280657</v>
      </c>
      <c r="X237" s="109">
        <f t="shared" si="48"/>
        <v>0</v>
      </c>
    </row>
    <row r="238" spans="1:24">
      <c r="A238" s="24">
        <v>1003</v>
      </c>
      <c r="B238" s="3" t="s">
        <v>222</v>
      </c>
      <c r="C238" s="38">
        <f t="shared" si="43"/>
        <v>-2063803</v>
      </c>
      <c r="D238" s="38">
        <f t="shared" si="44"/>
        <v>-1154442</v>
      </c>
      <c r="E238" s="38">
        <f t="shared" si="45"/>
        <v>-218764</v>
      </c>
      <c r="F238" s="38">
        <f t="shared" si="46"/>
        <v>124104</v>
      </c>
      <c r="G238" s="38">
        <f t="shared" si="47"/>
        <v>618</v>
      </c>
      <c r="I238" s="41"/>
      <c r="K238" s="40">
        <f>ROUND(VLOOKUP($A238,'Contribution Allocation_Report'!$A$9:$D$314,4,FALSE)*$K$321,0)</f>
        <v>-1866361</v>
      </c>
      <c r="L238" s="40">
        <f>ROUND(VLOOKUP($A238,'Contribution Allocation_Report'!$A$9:$D$314,4,FALSE)*$L$321,0)</f>
        <v>-1258310</v>
      </c>
      <c r="M238" s="40">
        <f>ROUND(VLOOKUP($A238,'Contribution Allocation_Report'!$A$9:$D$314,4,FALSE)*$M$321,0)</f>
        <v>-403603</v>
      </c>
      <c r="N238" s="40">
        <f>ROUND(VLOOKUP($A238,'Contribution Allocation_Report'!$A$9:$D$314,4,FALSE)*$N$321,0)</f>
        <v>16615</v>
      </c>
      <c r="O238" s="40">
        <f>ROUND(VLOOKUP($A238,'Contribution Allocation_Report'!$A$9:$D$314,4,FALSE)*$O$321,0)</f>
        <v>-44842</v>
      </c>
      <c r="Q238" s="40">
        <f>+VLOOKUP(A238,'Change in Proportion Layers'!$AK$8:$AP$318,2,FALSE)+K238</f>
        <v>-2063803</v>
      </c>
      <c r="R238" s="40">
        <f>+VLOOKUP(A238,'Change in Proportion Layers'!$AK$8:$AP$318,3,FALSE)+L238</f>
        <v>-1154442</v>
      </c>
      <c r="S238" s="40">
        <f>+VLOOKUP(A238,'Change in Proportion Layers'!$AK$8:$AP$318,4,FALSE)+M238</f>
        <v>-218764</v>
      </c>
      <c r="T238" s="40">
        <f>+VLOOKUP(A238,'Change in Proportion Layers'!$AK$8:$AP$318,5,FALSE)+N238</f>
        <v>124104</v>
      </c>
      <c r="U238" s="40">
        <f>+VLOOKUP(A238,'Change in Proportion Layers'!$AK$8:$AP$318,6,FALSE)+O238-1</f>
        <v>618</v>
      </c>
      <c r="W238" s="40">
        <f>('OPEB Amounts_Report'!G238-'OPEB Amounts_Report'!M238)</f>
        <v>-3312287</v>
      </c>
      <c r="X238" s="109">
        <f t="shared" si="48"/>
        <v>0</v>
      </c>
    </row>
    <row r="239" spans="1:24">
      <c r="A239" s="22">
        <v>3290</v>
      </c>
      <c r="B239" s="23" t="s">
        <v>223</v>
      </c>
      <c r="C239" s="37">
        <f t="shared" si="43"/>
        <v>-4202028</v>
      </c>
      <c r="D239" s="37">
        <f t="shared" si="44"/>
        <v>-2616515</v>
      </c>
      <c r="E239" s="37">
        <f t="shared" si="45"/>
        <v>-407976</v>
      </c>
      <c r="F239" s="37">
        <f t="shared" si="46"/>
        <v>783561</v>
      </c>
      <c r="G239" s="37">
        <f t="shared" si="47"/>
        <v>129643</v>
      </c>
      <c r="I239" s="41"/>
      <c r="K239" s="40">
        <f>ROUND(VLOOKUP($A239,'Contribution Allocation_Report'!$A$9:$D$314,4,FALSE)*$K$321,0)</f>
        <v>-3948960</v>
      </c>
      <c r="L239" s="40">
        <f>ROUND(VLOOKUP($A239,'Contribution Allocation_Report'!$A$9:$D$314,4,FALSE)*$L$321,0)</f>
        <v>-2662408</v>
      </c>
      <c r="M239" s="40">
        <f>ROUND(VLOOKUP($A239,'Contribution Allocation_Report'!$A$9:$D$314,4,FALSE)*$M$321,0)</f>
        <v>-853968</v>
      </c>
      <c r="N239" s="40">
        <f>ROUND(VLOOKUP($A239,'Contribution Allocation_Report'!$A$9:$D$314,4,FALSE)*$N$321,0)</f>
        <v>35154</v>
      </c>
      <c r="O239" s="40">
        <f>ROUND(VLOOKUP($A239,'Contribution Allocation_Report'!$A$9:$D$314,4,FALSE)*$O$321,0)</f>
        <v>-94880</v>
      </c>
      <c r="Q239" s="40">
        <f>+VLOOKUP(A239,'Change in Proportion Layers'!$AK$8:$AP$318,2,FALSE)+K239</f>
        <v>-4202028</v>
      </c>
      <c r="R239" s="40">
        <f>+VLOOKUP(A239,'Change in Proportion Layers'!$AK$8:$AP$318,3,FALSE)+L239</f>
        <v>-2616515</v>
      </c>
      <c r="S239" s="40">
        <f>+VLOOKUP(A239,'Change in Proportion Layers'!$AK$8:$AP$318,4,FALSE)+M239</f>
        <v>-407976</v>
      </c>
      <c r="T239" s="40">
        <f>+VLOOKUP(A239,'Change in Proportion Layers'!$AK$8:$AP$318,5,FALSE)+N239</f>
        <v>783561</v>
      </c>
      <c r="U239" s="40">
        <f>+VLOOKUP(A239,'Change in Proportion Layers'!$AK$8:$AP$318,6,FALSE)+O239</f>
        <v>129643</v>
      </c>
      <c r="W239" s="40">
        <f>('OPEB Amounts_Report'!G239-'OPEB Amounts_Report'!M239)</f>
        <v>-6313315</v>
      </c>
      <c r="X239" s="109">
        <f t="shared" si="48"/>
        <v>0</v>
      </c>
    </row>
    <row r="240" spans="1:24">
      <c r="A240" s="24">
        <v>1002</v>
      </c>
      <c r="B240" s="3" t="s">
        <v>224</v>
      </c>
      <c r="C240" s="38">
        <f t="shared" si="43"/>
        <v>-7811648</v>
      </c>
      <c r="D240" s="38">
        <f t="shared" si="44"/>
        <v>-5507125</v>
      </c>
      <c r="E240" s="38">
        <f t="shared" si="45"/>
        <v>-2598788</v>
      </c>
      <c r="F240" s="38">
        <f t="shared" si="46"/>
        <v>-1073992</v>
      </c>
      <c r="G240" s="38">
        <f t="shared" si="47"/>
        <v>-725434</v>
      </c>
      <c r="I240" s="41"/>
      <c r="K240" s="40">
        <f>ROUND(VLOOKUP($A240,'Contribution Allocation_Report'!$A$9:$D$314,4,FALSE)*$K$321,0)</f>
        <v>-5921747</v>
      </c>
      <c r="L240" s="40">
        <f>ROUND(VLOOKUP($A240,'Contribution Allocation_Report'!$A$9:$D$314,4,FALSE)*$L$321,0)</f>
        <v>-3992471</v>
      </c>
      <c r="M240" s="40">
        <f>ROUND(VLOOKUP($A240,'Contribution Allocation_Report'!$A$9:$D$314,4,FALSE)*$M$321,0)</f>
        <v>-1280586</v>
      </c>
      <c r="N240" s="40">
        <f>ROUND(VLOOKUP($A240,'Contribution Allocation_Report'!$A$9:$D$314,4,FALSE)*$N$321,0)</f>
        <v>52716</v>
      </c>
      <c r="O240" s="40">
        <f>ROUND(VLOOKUP($A240,'Contribution Allocation_Report'!$A$9:$D$314,4,FALSE)*$O$321,0)</f>
        <v>-142279</v>
      </c>
      <c r="Q240" s="40">
        <f>+VLOOKUP(A240,'Change in Proportion Layers'!$AK$8:$AP$318,2,FALSE)+K240</f>
        <v>-7811648</v>
      </c>
      <c r="R240" s="40">
        <f>+VLOOKUP(A240,'Change in Proportion Layers'!$AK$8:$AP$318,3,FALSE)+L240</f>
        <v>-5507125</v>
      </c>
      <c r="S240" s="40">
        <f>+VLOOKUP(A240,'Change in Proportion Layers'!$AK$8:$AP$318,4,FALSE)+M240</f>
        <v>-2598788</v>
      </c>
      <c r="T240" s="40">
        <f>+VLOOKUP(A240,'Change in Proportion Layers'!$AK$8:$AP$318,5,FALSE)+N240</f>
        <v>-1073992</v>
      </c>
      <c r="U240" s="40">
        <f>+VLOOKUP(A240,'Change in Proportion Layers'!$AK$8:$AP$318,6,FALSE)+O240-2</f>
        <v>-725434</v>
      </c>
      <c r="W240" s="40">
        <f>('OPEB Amounts_Report'!G240-'OPEB Amounts_Report'!M240)</f>
        <v>-17716987</v>
      </c>
      <c r="X240" s="109">
        <f t="shared" si="48"/>
        <v>0</v>
      </c>
    </row>
    <row r="241" spans="1:24">
      <c r="A241" s="22">
        <v>4270</v>
      </c>
      <c r="B241" s="23" t="s">
        <v>413</v>
      </c>
      <c r="C241" s="37">
        <f t="shared" ref="C241" si="54">+Q241</f>
        <v>136234</v>
      </c>
      <c r="D241" s="37">
        <f t="shared" ref="D241" si="55">+R241</f>
        <v>-117595</v>
      </c>
      <c r="E241" s="37">
        <f t="shared" ref="E241" si="56">+S241</f>
        <v>-45461</v>
      </c>
      <c r="F241" s="37">
        <f t="shared" ref="F241" si="57">+T241</f>
        <v>7066</v>
      </c>
      <c r="G241" s="37">
        <f t="shared" ref="G241" si="58">+U241</f>
        <v>-452</v>
      </c>
      <c r="I241" s="41"/>
      <c r="K241" s="40">
        <f>ROUND(VLOOKUP($A241,'Contribution Allocation_Report'!$A$9:$D$314,4,FALSE)*$K$321,0)</f>
        <v>-141086</v>
      </c>
      <c r="L241" s="40">
        <f>ROUND(VLOOKUP($A241,'Contribution Allocation_Report'!$A$9:$D$314,4,FALSE)*$L$321,0)</f>
        <v>-95121</v>
      </c>
      <c r="M241" s="40">
        <f>ROUND(VLOOKUP($A241,'Contribution Allocation_Report'!$A$9:$D$314,4,FALSE)*$M$321,0)</f>
        <v>-30510</v>
      </c>
      <c r="N241" s="40">
        <f>ROUND(VLOOKUP($A241,'Contribution Allocation_Report'!$A$9:$D$314,4,FALSE)*$N$321,0)</f>
        <v>1256</v>
      </c>
      <c r="O241" s="40">
        <f>ROUND(VLOOKUP($A241,'Contribution Allocation_Report'!$A$9:$D$314,4,FALSE)*$O$321,0)</f>
        <v>-3390</v>
      </c>
      <c r="Q241" s="40">
        <f>+VLOOKUP(A241,'Change in Proportion Layers'!$AK$8:$AP$318,2,FALSE)+K241</f>
        <v>136234</v>
      </c>
      <c r="R241" s="40">
        <f>+VLOOKUP(A241,'Change in Proportion Layers'!$AK$8:$AP$318,3,FALSE)+L241</f>
        <v>-117595</v>
      </c>
      <c r="S241" s="40">
        <f>+VLOOKUP(A241,'Change in Proportion Layers'!$AK$8:$AP$318,4,FALSE)+M241</f>
        <v>-45461</v>
      </c>
      <c r="T241" s="40">
        <f>+VLOOKUP(A241,'Change in Proportion Layers'!$AK$8:$AP$318,5,FALSE)+N241</f>
        <v>7066</v>
      </c>
      <c r="U241" s="40">
        <f>+VLOOKUP(A241,'Change in Proportion Layers'!$AK$8:$AP$318,6,FALSE)+O241</f>
        <v>-452</v>
      </c>
      <c r="W241" s="40">
        <f>('OPEB Amounts_Report'!G241-'OPEB Amounts_Report'!M241)</f>
        <v>-20208</v>
      </c>
      <c r="X241" s="109">
        <f t="shared" si="48"/>
        <v>0</v>
      </c>
    </row>
    <row r="242" spans="1:24">
      <c r="A242" s="24">
        <v>24072</v>
      </c>
      <c r="B242" s="3" t="s">
        <v>225</v>
      </c>
      <c r="C242" s="38">
        <f t="shared" si="43"/>
        <v>-400091</v>
      </c>
      <c r="D242" s="38">
        <f t="shared" si="44"/>
        <v>-360116</v>
      </c>
      <c r="E242" s="38">
        <f t="shared" si="45"/>
        <v>-200457</v>
      </c>
      <c r="F242" s="38">
        <f t="shared" si="46"/>
        <v>-46322</v>
      </c>
      <c r="G242" s="38">
        <f t="shared" si="47"/>
        <v>-39255</v>
      </c>
      <c r="I242" s="41"/>
      <c r="K242" s="40">
        <f>ROUND(VLOOKUP($A242,'Contribution Allocation_Report'!$A$9:$D$314,4,FALSE)*$K$321,0)</f>
        <v>-461859</v>
      </c>
      <c r="L242" s="40">
        <f>ROUND(VLOOKUP($A242,'Contribution Allocation_Report'!$A$9:$D$314,4,FALSE)*$L$321,0)</f>
        <v>-311387</v>
      </c>
      <c r="M242" s="40">
        <f>ROUND(VLOOKUP($A242,'Contribution Allocation_Report'!$A$9:$D$314,4,FALSE)*$M$321,0)</f>
        <v>-99878</v>
      </c>
      <c r="N242" s="40">
        <f>ROUND(VLOOKUP($A242,'Contribution Allocation_Report'!$A$9:$D$314,4,FALSE)*$N$321,0)</f>
        <v>4112</v>
      </c>
      <c r="O242" s="40">
        <f>ROUND(VLOOKUP($A242,'Contribution Allocation_Report'!$A$9:$D$314,4,FALSE)*$O$321,0)</f>
        <v>-11097</v>
      </c>
      <c r="Q242" s="40">
        <f>+VLOOKUP(A242,'Change in Proportion Layers'!$AK$8:$AP$318,2,FALSE)+K242</f>
        <v>-400091</v>
      </c>
      <c r="R242" s="40">
        <f>+VLOOKUP(A242,'Change in Proportion Layers'!$AK$8:$AP$318,3,FALSE)+L242</f>
        <v>-360116</v>
      </c>
      <c r="S242" s="40">
        <f>+VLOOKUP(A242,'Change in Proportion Layers'!$AK$8:$AP$318,4,FALSE)+M242</f>
        <v>-200457</v>
      </c>
      <c r="T242" s="40">
        <f>+VLOOKUP(A242,'Change in Proportion Layers'!$AK$8:$AP$318,5,FALSE)+N242</f>
        <v>-46322</v>
      </c>
      <c r="U242" s="40">
        <f>+VLOOKUP(A242,'Change in Proportion Layers'!$AK$8:$AP$318,6,FALSE)+O242</f>
        <v>-39255</v>
      </c>
      <c r="W242" s="40">
        <f>('OPEB Amounts_Report'!G242-'OPEB Amounts_Report'!M242)</f>
        <v>-1046241</v>
      </c>
      <c r="X242" s="109">
        <f t="shared" si="48"/>
        <v>0</v>
      </c>
    </row>
    <row r="243" spans="1:24">
      <c r="A243" s="22">
        <v>14366</v>
      </c>
      <c r="B243" s="23" t="s">
        <v>226</v>
      </c>
      <c r="C243" s="37">
        <f t="shared" si="43"/>
        <v>-161178</v>
      </c>
      <c r="D243" s="37">
        <f t="shared" si="44"/>
        <v>-72748</v>
      </c>
      <c r="E243" s="37">
        <f t="shared" si="45"/>
        <v>-33279</v>
      </c>
      <c r="F243" s="37">
        <f t="shared" si="46"/>
        <v>-31141</v>
      </c>
      <c r="G243" s="37">
        <f t="shared" si="47"/>
        <v>-10120</v>
      </c>
      <c r="I243" s="41"/>
      <c r="K243" s="40">
        <f>ROUND(VLOOKUP($A243,'Contribution Allocation_Report'!$A$9:$D$314,4,FALSE)*$K$321,0)</f>
        <v>-308256</v>
      </c>
      <c r="L243" s="40">
        <f>ROUND(VLOOKUP($A243,'Contribution Allocation_Report'!$A$9:$D$314,4,FALSE)*$L$321,0)</f>
        <v>-207828</v>
      </c>
      <c r="M243" s="40">
        <f>ROUND(VLOOKUP($A243,'Contribution Allocation_Report'!$A$9:$D$314,4,FALSE)*$M$321,0)</f>
        <v>-66661</v>
      </c>
      <c r="N243" s="40">
        <f>ROUND(VLOOKUP($A243,'Contribution Allocation_Report'!$A$9:$D$314,4,FALSE)*$N$321,0)</f>
        <v>2744</v>
      </c>
      <c r="O243" s="40">
        <f>ROUND(VLOOKUP($A243,'Contribution Allocation_Report'!$A$9:$D$314,4,FALSE)*$O$321,0)</f>
        <v>-7406</v>
      </c>
      <c r="Q243" s="40">
        <f>+VLOOKUP(A243,'Change in Proportion Layers'!$AK$8:$AP$318,2,FALSE)+K243</f>
        <v>-161178</v>
      </c>
      <c r="R243" s="40">
        <f>+VLOOKUP(A243,'Change in Proportion Layers'!$AK$8:$AP$318,3,FALSE)+L243</f>
        <v>-72748</v>
      </c>
      <c r="S243" s="40">
        <f>+VLOOKUP(A243,'Change in Proportion Layers'!$AK$8:$AP$318,4,FALSE)+M243</f>
        <v>-33279</v>
      </c>
      <c r="T243" s="40">
        <f>+VLOOKUP(A243,'Change in Proportion Layers'!$AK$8:$AP$318,5,FALSE)+N243</f>
        <v>-31141</v>
      </c>
      <c r="U243" s="40">
        <f>+VLOOKUP(A243,'Change in Proportion Layers'!$AK$8:$AP$318,6,FALSE)+O243+1</f>
        <v>-10120</v>
      </c>
      <c r="W243" s="40">
        <f>('OPEB Amounts_Report'!G243-'OPEB Amounts_Report'!M243)</f>
        <v>-308466</v>
      </c>
      <c r="X243" s="109">
        <f t="shared" si="48"/>
        <v>0</v>
      </c>
    </row>
    <row r="244" spans="1:24">
      <c r="A244" s="24">
        <v>4317</v>
      </c>
      <c r="B244" s="3" t="s">
        <v>227</v>
      </c>
      <c r="C244" s="38">
        <f t="shared" si="43"/>
        <v>19167</v>
      </c>
      <c r="D244" s="38">
        <f t="shared" si="44"/>
        <v>-56735</v>
      </c>
      <c r="E244" s="38">
        <f t="shared" si="45"/>
        <v>-27890</v>
      </c>
      <c r="F244" s="38">
        <f t="shared" si="46"/>
        <v>-680</v>
      </c>
      <c r="G244" s="38">
        <f t="shared" si="47"/>
        <v>-688</v>
      </c>
      <c r="I244" s="41"/>
      <c r="K244" s="40">
        <f>ROUND(VLOOKUP($A244,'Contribution Allocation_Report'!$A$9:$D$314,4,FALSE)*$K$321,0)</f>
        <v>-88286</v>
      </c>
      <c r="L244" s="40">
        <f>ROUND(VLOOKUP($A244,'Contribution Allocation_Report'!$A$9:$D$314,4,FALSE)*$L$321,0)</f>
        <v>-59523</v>
      </c>
      <c r="M244" s="40">
        <f>ROUND(VLOOKUP($A244,'Contribution Allocation_Report'!$A$9:$D$314,4,FALSE)*$M$321,0)</f>
        <v>-19092</v>
      </c>
      <c r="N244" s="40">
        <f>ROUND(VLOOKUP($A244,'Contribution Allocation_Report'!$A$9:$D$314,4,FALSE)*$N$321,0)</f>
        <v>786</v>
      </c>
      <c r="O244" s="40">
        <f>ROUND(VLOOKUP($A244,'Contribution Allocation_Report'!$A$9:$D$314,4,FALSE)*$O$321,0)</f>
        <v>-2121</v>
      </c>
      <c r="Q244" s="40">
        <f>+VLOOKUP(A244,'Change in Proportion Layers'!$AK$8:$AP$318,2,FALSE)+K244</f>
        <v>19167</v>
      </c>
      <c r="R244" s="40">
        <f>+VLOOKUP(A244,'Change in Proportion Layers'!$AK$8:$AP$318,3,FALSE)+L244</f>
        <v>-56735</v>
      </c>
      <c r="S244" s="40">
        <f>+VLOOKUP(A244,'Change in Proportion Layers'!$AK$8:$AP$318,4,FALSE)+M244</f>
        <v>-27890</v>
      </c>
      <c r="T244" s="40">
        <f>+VLOOKUP(A244,'Change in Proportion Layers'!$AK$8:$AP$318,5,FALSE)+N244</f>
        <v>-680</v>
      </c>
      <c r="U244" s="40">
        <f>+VLOOKUP(A244,'Change in Proportion Layers'!$AK$8:$AP$318,6,FALSE)+O244+1</f>
        <v>-688</v>
      </c>
      <c r="W244" s="40">
        <f>('OPEB Amounts_Report'!G244-'OPEB Amounts_Report'!M244)</f>
        <v>-66826</v>
      </c>
      <c r="X244" s="109">
        <f t="shared" si="48"/>
        <v>0</v>
      </c>
    </row>
    <row r="245" spans="1:24">
      <c r="A245" s="22">
        <v>2433</v>
      </c>
      <c r="B245" s="23" t="s">
        <v>228</v>
      </c>
      <c r="C245" s="37">
        <f t="shared" si="43"/>
        <v>-37192</v>
      </c>
      <c r="D245" s="37">
        <f t="shared" si="44"/>
        <v>12358</v>
      </c>
      <c r="E245" s="37">
        <f t="shared" si="45"/>
        <v>89033</v>
      </c>
      <c r="F245" s="37">
        <f t="shared" si="46"/>
        <v>121330</v>
      </c>
      <c r="G245" s="37">
        <f t="shared" si="47"/>
        <v>43165</v>
      </c>
      <c r="I245" s="41"/>
      <c r="K245" s="40">
        <f>ROUND(VLOOKUP($A245,'Contribution Allocation_Report'!$A$9:$D$314,4,FALSE)*$K$321,0)</f>
        <v>-226587</v>
      </c>
      <c r="L245" s="40">
        <f>ROUND(VLOOKUP($A245,'Contribution Allocation_Report'!$A$9:$D$314,4,FALSE)*$L$321,0)</f>
        <v>-152766</v>
      </c>
      <c r="M245" s="40">
        <f>ROUND(VLOOKUP($A245,'Contribution Allocation_Report'!$A$9:$D$314,4,FALSE)*$M$321,0)</f>
        <v>-49000</v>
      </c>
      <c r="N245" s="40">
        <f>ROUND(VLOOKUP($A245,'Contribution Allocation_Report'!$A$9:$D$314,4,FALSE)*$N$321,0)</f>
        <v>2017</v>
      </c>
      <c r="O245" s="40">
        <f>ROUND(VLOOKUP($A245,'Contribution Allocation_Report'!$A$9:$D$314,4,FALSE)*$O$321,0)</f>
        <v>-5444</v>
      </c>
      <c r="Q245" s="40">
        <f>+VLOOKUP(A245,'Change in Proportion Layers'!$AK$8:$AP$318,2,FALSE)+K245</f>
        <v>-37192</v>
      </c>
      <c r="R245" s="40">
        <f>+VLOOKUP(A245,'Change in Proportion Layers'!$AK$8:$AP$318,3,FALSE)+L245</f>
        <v>12358</v>
      </c>
      <c r="S245" s="40">
        <f>+VLOOKUP(A245,'Change in Proportion Layers'!$AK$8:$AP$318,4,FALSE)+M245</f>
        <v>89033</v>
      </c>
      <c r="T245" s="40">
        <f>+VLOOKUP(A245,'Change in Proportion Layers'!$AK$8:$AP$318,5,FALSE)+N245</f>
        <v>121330</v>
      </c>
      <c r="U245" s="40">
        <f>+VLOOKUP(A245,'Change in Proportion Layers'!$AK$8:$AP$318,6,FALSE)+O245-1</f>
        <v>43165</v>
      </c>
      <c r="W245" s="40">
        <f>('OPEB Amounts_Report'!G245-'OPEB Amounts_Report'!M245)</f>
        <v>228694</v>
      </c>
      <c r="X245" s="109">
        <f t="shared" si="48"/>
        <v>0</v>
      </c>
    </row>
    <row r="246" spans="1:24">
      <c r="A246" s="24">
        <v>3300</v>
      </c>
      <c r="B246" s="3" t="s">
        <v>229</v>
      </c>
      <c r="C246" s="38">
        <f t="shared" si="43"/>
        <v>-271628</v>
      </c>
      <c r="D246" s="38">
        <f t="shared" si="44"/>
        <v>-151122</v>
      </c>
      <c r="E246" s="38">
        <f t="shared" si="45"/>
        <v>-34568</v>
      </c>
      <c r="F246" s="38">
        <f t="shared" si="46"/>
        <v>47255</v>
      </c>
      <c r="G246" s="38">
        <f t="shared" si="47"/>
        <v>17128</v>
      </c>
      <c r="I246" s="41"/>
      <c r="K246" s="40">
        <f>ROUND(VLOOKUP($A246,'Contribution Allocation_Report'!$A$9:$D$314,4,FALSE)*$K$321,0)</f>
        <v>-275873</v>
      </c>
      <c r="L246" s="40">
        <f>ROUND(VLOOKUP($A246,'Contribution Allocation_Report'!$A$9:$D$314,4,FALSE)*$L$321,0)</f>
        <v>-185995</v>
      </c>
      <c r="M246" s="40">
        <f>ROUND(VLOOKUP($A246,'Contribution Allocation_Report'!$A$9:$D$314,4,FALSE)*$M$321,0)</f>
        <v>-59658</v>
      </c>
      <c r="N246" s="40">
        <f>ROUND(VLOOKUP($A246,'Contribution Allocation_Report'!$A$9:$D$314,4,FALSE)*$N$321,0)</f>
        <v>2456</v>
      </c>
      <c r="O246" s="40">
        <f>ROUND(VLOOKUP($A246,'Contribution Allocation_Report'!$A$9:$D$314,4,FALSE)*$O$321,0)</f>
        <v>-6628</v>
      </c>
      <c r="Q246" s="40">
        <f>+VLOOKUP(A246,'Change in Proportion Layers'!$AK$8:$AP$318,2,FALSE)+K246</f>
        <v>-271628</v>
      </c>
      <c r="R246" s="40">
        <f>+VLOOKUP(A246,'Change in Proportion Layers'!$AK$8:$AP$318,3,FALSE)+L246</f>
        <v>-151122</v>
      </c>
      <c r="S246" s="40">
        <f>+VLOOKUP(A246,'Change in Proportion Layers'!$AK$8:$AP$318,4,FALSE)+M246</f>
        <v>-34568</v>
      </c>
      <c r="T246" s="40">
        <f>+VLOOKUP(A246,'Change in Proportion Layers'!$AK$8:$AP$318,5,FALSE)+N246</f>
        <v>47255</v>
      </c>
      <c r="U246" s="40">
        <f>+VLOOKUP(A246,'Change in Proportion Layers'!$AK$8:$AP$318,6,FALSE)+O246-1</f>
        <v>17128</v>
      </c>
      <c r="W246" s="40">
        <f>('OPEB Amounts_Report'!G246-'OPEB Amounts_Report'!M246)</f>
        <v>-392935</v>
      </c>
      <c r="X246" s="109">
        <f t="shared" si="48"/>
        <v>0</v>
      </c>
    </row>
    <row r="247" spans="1:24">
      <c r="A247" s="22">
        <v>8026</v>
      </c>
      <c r="B247" s="23" t="s">
        <v>230</v>
      </c>
      <c r="C247" s="37">
        <f t="shared" si="43"/>
        <v>-1526268</v>
      </c>
      <c r="D247" s="37">
        <f t="shared" si="44"/>
        <v>-981341</v>
      </c>
      <c r="E247" s="37">
        <f t="shared" si="45"/>
        <v>-387833</v>
      </c>
      <c r="F247" s="37">
        <f t="shared" si="46"/>
        <v>-61770</v>
      </c>
      <c r="G247" s="37">
        <f t="shared" si="47"/>
        <v>-59052</v>
      </c>
      <c r="I247" s="41"/>
      <c r="K247" s="40">
        <f>ROUND(VLOOKUP($A247,'Contribution Allocation_Report'!$A$9:$D$314,4,FALSE)*$K$321,0)</f>
        <v>-1303910</v>
      </c>
      <c r="L247" s="40">
        <f>ROUND(VLOOKUP($A247,'Contribution Allocation_Report'!$A$9:$D$314,4,FALSE)*$L$321,0)</f>
        <v>-879103</v>
      </c>
      <c r="M247" s="40">
        <f>ROUND(VLOOKUP($A247,'Contribution Allocation_Report'!$A$9:$D$314,4,FALSE)*$M$321,0)</f>
        <v>-281972</v>
      </c>
      <c r="N247" s="40">
        <f>ROUND(VLOOKUP($A247,'Contribution Allocation_Report'!$A$9:$D$314,4,FALSE)*$N$321,0)</f>
        <v>11608</v>
      </c>
      <c r="O247" s="40">
        <f>ROUND(VLOOKUP($A247,'Contribution Allocation_Report'!$A$9:$D$314,4,FALSE)*$O$321,0)</f>
        <v>-31328</v>
      </c>
      <c r="Q247" s="40">
        <f>+VLOOKUP(A247,'Change in Proportion Layers'!$AK$8:$AP$318,2,FALSE)+K247</f>
        <v>-1526268</v>
      </c>
      <c r="R247" s="40">
        <f>+VLOOKUP(A247,'Change in Proportion Layers'!$AK$8:$AP$318,3,FALSE)+L247</f>
        <v>-981341</v>
      </c>
      <c r="S247" s="40">
        <f>+VLOOKUP(A247,'Change in Proportion Layers'!$AK$8:$AP$318,4,FALSE)+M247</f>
        <v>-387833</v>
      </c>
      <c r="T247" s="40">
        <f>+VLOOKUP(A247,'Change in Proportion Layers'!$AK$8:$AP$318,5,FALSE)+N247</f>
        <v>-61770</v>
      </c>
      <c r="U247" s="40">
        <f>+VLOOKUP(A247,'Change in Proportion Layers'!$AK$8:$AP$318,6,FALSE)+O247-2</f>
        <v>-59052</v>
      </c>
      <c r="W247" s="40">
        <f>('OPEB Amounts_Report'!G247-'OPEB Amounts_Report'!M247)</f>
        <v>-3016264</v>
      </c>
      <c r="X247" s="109">
        <f t="shared" si="48"/>
        <v>0</v>
      </c>
    </row>
    <row r="248" spans="1:24">
      <c r="A248" s="24">
        <v>13438</v>
      </c>
      <c r="B248" s="3" t="s">
        <v>231</v>
      </c>
      <c r="C248" s="38">
        <f t="shared" si="43"/>
        <v>-37172</v>
      </c>
      <c r="D248" s="38">
        <f t="shared" si="44"/>
        <v>-33586</v>
      </c>
      <c r="E248" s="38">
        <f t="shared" si="45"/>
        <v>-21498</v>
      </c>
      <c r="F248" s="38">
        <f t="shared" si="46"/>
        <v>-15234</v>
      </c>
      <c r="G248" s="38">
        <f t="shared" si="47"/>
        <v>-264</v>
      </c>
      <c r="I248" s="41"/>
      <c r="K248" s="40">
        <f>ROUND(VLOOKUP($A248,'Contribution Allocation_Report'!$A$9:$D$314,4,FALSE)*$K$321,0)</f>
        <v>-41094</v>
      </c>
      <c r="L248" s="40">
        <f>ROUND(VLOOKUP($A248,'Contribution Allocation_Report'!$A$9:$D$314,4,FALSE)*$L$321,0)</f>
        <v>-27706</v>
      </c>
      <c r="M248" s="40">
        <f>ROUND(VLOOKUP($A248,'Contribution Allocation_Report'!$A$9:$D$314,4,FALSE)*$M$321,0)</f>
        <v>-8887</v>
      </c>
      <c r="N248" s="40">
        <f>ROUND(VLOOKUP($A248,'Contribution Allocation_Report'!$A$9:$D$314,4,FALSE)*$N$321,0)</f>
        <v>366</v>
      </c>
      <c r="O248" s="40">
        <f>ROUND(VLOOKUP($A248,'Contribution Allocation_Report'!$A$9:$D$314,4,FALSE)*$O$321,0)</f>
        <v>-987</v>
      </c>
      <c r="Q248" s="40">
        <f>+VLOOKUP(A248,'Change in Proportion Layers'!$AK$8:$AP$318,2,FALSE)+K248</f>
        <v>-37172</v>
      </c>
      <c r="R248" s="40">
        <f>+VLOOKUP(A248,'Change in Proportion Layers'!$AK$8:$AP$318,3,FALSE)+L248</f>
        <v>-33586</v>
      </c>
      <c r="S248" s="40">
        <f>+VLOOKUP(A248,'Change in Proportion Layers'!$AK$8:$AP$318,4,FALSE)+M248</f>
        <v>-21498</v>
      </c>
      <c r="T248" s="40">
        <f>+VLOOKUP(A248,'Change in Proportion Layers'!$AK$8:$AP$318,5,FALSE)+N248</f>
        <v>-15234</v>
      </c>
      <c r="U248" s="40">
        <f>+VLOOKUP(A248,'Change in Proportion Layers'!$AK$8:$AP$318,6,FALSE)+O248+1</f>
        <v>-264</v>
      </c>
      <c r="W248" s="40">
        <f>('OPEB Amounts_Report'!G248-'OPEB Amounts_Report'!M248)</f>
        <v>-107754</v>
      </c>
      <c r="X248" s="109">
        <f t="shared" si="48"/>
        <v>0</v>
      </c>
    </row>
    <row r="249" spans="1:24">
      <c r="A249" s="22">
        <v>25076</v>
      </c>
      <c r="B249" s="23" t="s">
        <v>232</v>
      </c>
      <c r="C249" s="37">
        <f t="shared" si="43"/>
        <v>-915429</v>
      </c>
      <c r="D249" s="37">
        <f t="shared" si="44"/>
        <v>-591527</v>
      </c>
      <c r="E249" s="37">
        <f t="shared" si="45"/>
        <v>-229550</v>
      </c>
      <c r="F249" s="37">
        <f t="shared" si="46"/>
        <v>-126539</v>
      </c>
      <c r="G249" s="37">
        <f t="shared" si="47"/>
        <v>-93573</v>
      </c>
      <c r="I249" s="41"/>
      <c r="K249" s="40">
        <f>ROUND(VLOOKUP($A249,'Contribution Allocation_Report'!$A$9:$D$314,4,FALSE)*$K$321,0)</f>
        <v>-756554</v>
      </c>
      <c r="L249" s="40">
        <f>ROUND(VLOOKUP($A249,'Contribution Allocation_Report'!$A$9:$D$314,4,FALSE)*$L$321,0)</f>
        <v>-510072</v>
      </c>
      <c r="M249" s="40">
        <f>ROUND(VLOOKUP($A249,'Contribution Allocation_Report'!$A$9:$D$314,4,FALSE)*$M$321,0)</f>
        <v>-163606</v>
      </c>
      <c r="N249" s="40">
        <f>ROUND(VLOOKUP($A249,'Contribution Allocation_Report'!$A$9:$D$314,4,FALSE)*$N$321,0)</f>
        <v>6735</v>
      </c>
      <c r="O249" s="40">
        <f>ROUND(VLOOKUP($A249,'Contribution Allocation_Report'!$A$9:$D$314,4,FALSE)*$O$321,0)</f>
        <v>-18177</v>
      </c>
      <c r="Q249" s="40">
        <f>+VLOOKUP(A249,'Change in Proportion Layers'!$AK$8:$AP$318,2,FALSE)+K249</f>
        <v>-915429</v>
      </c>
      <c r="R249" s="40">
        <f>+VLOOKUP(A249,'Change in Proportion Layers'!$AK$8:$AP$318,3,FALSE)+L249</f>
        <v>-591527</v>
      </c>
      <c r="S249" s="40">
        <f>+VLOOKUP(A249,'Change in Proportion Layers'!$AK$8:$AP$318,4,FALSE)+M249</f>
        <v>-229550</v>
      </c>
      <c r="T249" s="40">
        <f>+VLOOKUP(A249,'Change in Proportion Layers'!$AK$8:$AP$318,5,FALSE)+N249</f>
        <v>-126539</v>
      </c>
      <c r="U249" s="40">
        <f>+VLOOKUP(A249,'Change in Proportion Layers'!$AK$8:$AP$318,6,FALSE)+O249+1</f>
        <v>-93573</v>
      </c>
      <c r="W249" s="40">
        <f>('OPEB Amounts_Report'!G249-'OPEB Amounts_Report'!M249)</f>
        <v>-1956618</v>
      </c>
      <c r="X249" s="109">
        <f t="shared" si="48"/>
        <v>0</v>
      </c>
    </row>
    <row r="250" spans="1:24">
      <c r="A250" s="24">
        <v>2440</v>
      </c>
      <c r="B250" s="3" t="s">
        <v>396</v>
      </c>
      <c r="C250" s="38">
        <f t="shared" si="43"/>
        <v>30892</v>
      </c>
      <c r="D250" s="38">
        <f t="shared" si="44"/>
        <v>25798</v>
      </c>
      <c r="E250" s="38">
        <f t="shared" si="45"/>
        <v>43329</v>
      </c>
      <c r="F250" s="38">
        <f t="shared" si="46"/>
        <v>47321</v>
      </c>
      <c r="G250" s="38">
        <f t="shared" si="47"/>
        <v>-23897</v>
      </c>
      <c r="I250" s="41"/>
      <c r="K250" s="40">
        <f>ROUND(VLOOKUP($A250,'Contribution Allocation_Report'!$A$9:$D$314,4,FALSE)*$K$321,0)</f>
        <v>-173820</v>
      </c>
      <c r="L250" s="40">
        <f>ROUND(VLOOKUP($A250,'Contribution Allocation_Report'!$A$9:$D$314,4,FALSE)*$L$321,0)</f>
        <v>-117190</v>
      </c>
      <c r="M250" s="40">
        <f>ROUND(VLOOKUP($A250,'Contribution Allocation_Report'!$A$9:$D$314,4,FALSE)*$M$321,0)</f>
        <v>-37589</v>
      </c>
      <c r="N250" s="40">
        <f>ROUND(VLOOKUP($A250,'Contribution Allocation_Report'!$A$9:$D$314,4,FALSE)*$N$321,0)</f>
        <v>1547</v>
      </c>
      <c r="O250" s="40">
        <f>ROUND(VLOOKUP($A250,'Contribution Allocation_Report'!$A$9:$D$314,4,FALSE)*$O$321,0)</f>
        <v>-4176</v>
      </c>
      <c r="Q250" s="40">
        <f>+VLOOKUP(A250,'Change in Proportion Layers'!$AK$8:$AP$318,2,FALSE)+K250</f>
        <v>30892</v>
      </c>
      <c r="R250" s="40">
        <f>+VLOOKUP(A250,'Change in Proportion Layers'!$AK$8:$AP$318,3,FALSE)+L250</f>
        <v>25798</v>
      </c>
      <c r="S250" s="40">
        <f>+VLOOKUP(A250,'Change in Proportion Layers'!$AK$8:$AP$318,4,FALSE)+M250</f>
        <v>43329</v>
      </c>
      <c r="T250" s="40">
        <f>+VLOOKUP(A250,'Change in Proportion Layers'!$AK$8:$AP$318,5,FALSE)+N250</f>
        <v>47321</v>
      </c>
      <c r="U250" s="40">
        <f>+VLOOKUP(A250,'Change in Proportion Layers'!$AK$8:$AP$318,6,FALSE)+O250+1</f>
        <v>-23897</v>
      </c>
      <c r="W250" s="40">
        <f>('OPEB Amounts_Report'!G250-'OPEB Amounts_Report'!M250)</f>
        <v>123443</v>
      </c>
      <c r="X250" s="109">
        <f t="shared" si="48"/>
        <v>0</v>
      </c>
    </row>
    <row r="251" spans="1:24">
      <c r="A251" s="22">
        <v>2309</v>
      </c>
      <c r="B251" s="23" t="s">
        <v>233</v>
      </c>
      <c r="C251" s="37">
        <f t="shared" si="43"/>
        <v>-323370</v>
      </c>
      <c r="D251" s="37">
        <f t="shared" si="44"/>
        <v>-246314</v>
      </c>
      <c r="E251" s="37">
        <f t="shared" si="45"/>
        <v>-76344</v>
      </c>
      <c r="F251" s="37">
        <f t="shared" si="46"/>
        <v>-9774</v>
      </c>
      <c r="G251" s="37">
        <f t="shared" si="47"/>
        <v>-37261</v>
      </c>
      <c r="I251" s="41"/>
      <c r="K251" s="40">
        <f>ROUND(VLOOKUP($A251,'Contribution Allocation_Report'!$A$9:$D$314,4,FALSE)*$K$321,0)</f>
        <v>-339471</v>
      </c>
      <c r="L251" s="40">
        <f>ROUND(VLOOKUP($A251,'Contribution Allocation_Report'!$A$9:$D$314,4,FALSE)*$L$321,0)</f>
        <v>-228873</v>
      </c>
      <c r="M251" s="40">
        <f>ROUND(VLOOKUP($A251,'Contribution Allocation_Report'!$A$9:$D$314,4,FALSE)*$M$321,0)</f>
        <v>-73411</v>
      </c>
      <c r="N251" s="40">
        <f>ROUND(VLOOKUP($A251,'Contribution Allocation_Report'!$A$9:$D$314,4,FALSE)*$N$321,0)</f>
        <v>3022</v>
      </c>
      <c r="O251" s="40">
        <f>ROUND(VLOOKUP($A251,'Contribution Allocation_Report'!$A$9:$D$314,4,FALSE)*$O$321,0)</f>
        <v>-8156</v>
      </c>
      <c r="Q251" s="40">
        <f>+VLOOKUP(A251,'Change in Proportion Layers'!$AK$8:$AP$318,2,FALSE)+K251</f>
        <v>-323370</v>
      </c>
      <c r="R251" s="40">
        <f>+VLOOKUP(A251,'Change in Proportion Layers'!$AK$8:$AP$318,3,FALSE)+L251</f>
        <v>-246314</v>
      </c>
      <c r="S251" s="40">
        <f>+VLOOKUP(A251,'Change in Proportion Layers'!$AK$8:$AP$318,4,FALSE)+M251</f>
        <v>-76344</v>
      </c>
      <c r="T251" s="40">
        <f>+VLOOKUP(A251,'Change in Proportion Layers'!$AK$8:$AP$318,5,FALSE)+N251</f>
        <v>-9774</v>
      </c>
      <c r="U251" s="40">
        <f>+VLOOKUP(A251,'Change in Proportion Layers'!$AK$8:$AP$318,6,FALSE)+O251-1</f>
        <v>-37261</v>
      </c>
      <c r="W251" s="40">
        <f>('OPEB Amounts_Report'!G251-'OPEB Amounts_Report'!M251)</f>
        <v>-693063</v>
      </c>
      <c r="X251" s="109">
        <f t="shared" si="48"/>
        <v>0</v>
      </c>
    </row>
    <row r="252" spans="1:24">
      <c r="A252" s="24">
        <v>2396</v>
      </c>
      <c r="B252" s="3" t="s">
        <v>234</v>
      </c>
      <c r="C252" s="38">
        <f t="shared" si="43"/>
        <v>-80167</v>
      </c>
      <c r="D252" s="38">
        <f t="shared" si="44"/>
        <v>-75963</v>
      </c>
      <c r="E252" s="38">
        <f t="shared" si="45"/>
        <v>-64026</v>
      </c>
      <c r="F252" s="38">
        <f t="shared" si="46"/>
        <v>-52924</v>
      </c>
      <c r="G252" s="38">
        <f t="shared" si="47"/>
        <v>-30491</v>
      </c>
      <c r="I252" s="41"/>
      <c r="K252" s="40">
        <f>ROUND(VLOOKUP($A252,'Contribution Allocation_Report'!$A$9:$D$314,4,FALSE)*$K$321,0)</f>
        <v>-62040</v>
      </c>
      <c r="L252" s="40">
        <f>ROUND(VLOOKUP($A252,'Contribution Allocation_Report'!$A$9:$D$314,4,FALSE)*$L$321,0)</f>
        <v>-41828</v>
      </c>
      <c r="M252" s="40">
        <f>ROUND(VLOOKUP($A252,'Contribution Allocation_Report'!$A$9:$D$314,4,FALSE)*$M$321,0)</f>
        <v>-13416</v>
      </c>
      <c r="N252" s="40">
        <f>ROUND(VLOOKUP($A252,'Contribution Allocation_Report'!$A$9:$D$314,4,FALSE)*$N$321,0)</f>
        <v>552</v>
      </c>
      <c r="O252" s="40">
        <f>ROUND(VLOOKUP($A252,'Contribution Allocation_Report'!$A$9:$D$314,4,FALSE)*$O$321,0)</f>
        <v>-1491</v>
      </c>
      <c r="Q252" s="40">
        <f>+VLOOKUP(A252,'Change in Proportion Layers'!$AK$8:$AP$318,2,FALSE)+K252</f>
        <v>-80167</v>
      </c>
      <c r="R252" s="40">
        <f>+VLOOKUP(A252,'Change in Proportion Layers'!$AK$8:$AP$318,3,FALSE)+L252</f>
        <v>-75963</v>
      </c>
      <c r="S252" s="40">
        <f>+VLOOKUP(A252,'Change in Proportion Layers'!$AK$8:$AP$318,4,FALSE)+M252</f>
        <v>-64026</v>
      </c>
      <c r="T252" s="40">
        <f>+VLOOKUP(A252,'Change in Proportion Layers'!$AK$8:$AP$318,5,FALSE)+N252</f>
        <v>-52924</v>
      </c>
      <c r="U252" s="40">
        <f>+VLOOKUP(A252,'Change in Proportion Layers'!$AK$8:$AP$318,6,FALSE)+O252+1</f>
        <v>-30491</v>
      </c>
      <c r="W252" s="40">
        <f>('OPEB Amounts_Report'!G252-'OPEB Amounts_Report'!M252)</f>
        <v>-303571</v>
      </c>
      <c r="X252" s="109">
        <f t="shared" si="48"/>
        <v>0</v>
      </c>
    </row>
    <row r="253" spans="1:24">
      <c r="A253" s="22" t="s">
        <v>721</v>
      </c>
      <c r="B253" s="23" t="s">
        <v>455</v>
      </c>
      <c r="C253" s="37">
        <f t="shared" ref="C253" si="59">+Q253</f>
        <v>237352</v>
      </c>
      <c r="D253" s="37">
        <f t="shared" ref="D253" si="60">+R253</f>
        <v>475896</v>
      </c>
      <c r="E253" s="37">
        <f t="shared" ref="E253" si="61">+S253</f>
        <v>811205</v>
      </c>
      <c r="F253" s="37">
        <f t="shared" ref="F253" si="62">+T253</f>
        <v>912389</v>
      </c>
      <c r="G253" s="37">
        <f t="shared" ref="G253" si="63">+U253</f>
        <v>28597</v>
      </c>
      <c r="I253" s="41"/>
      <c r="K253" s="40">
        <f>ROUND(VLOOKUP($A253,'Contribution Allocation_Report'!$A$9:$D$314,4,FALSE)*$K$321,0)</f>
        <v>-732190</v>
      </c>
      <c r="L253" s="40">
        <f>ROUND(VLOOKUP($A253,'Contribution Allocation_Report'!$A$9:$D$314,4,FALSE)*$L$321,0)</f>
        <v>-493646</v>
      </c>
      <c r="M253" s="40">
        <f>ROUND(VLOOKUP($A253,'Contribution Allocation_Report'!$A$9:$D$314,4,FALSE)*$M$321,0)</f>
        <v>-158337</v>
      </c>
      <c r="N253" s="40">
        <f>ROUND(VLOOKUP($A253,'Contribution Allocation_Report'!$A$9:$D$314,4,FALSE)*$N$321,0)</f>
        <v>6518</v>
      </c>
      <c r="O253" s="40">
        <f>ROUND(VLOOKUP($A253,'Contribution Allocation_Report'!$A$9:$D$314,4,FALSE)*$O$321,0)</f>
        <v>-17592</v>
      </c>
      <c r="Q253" s="40">
        <f>+VLOOKUP(A253,'Change in Proportion Layers'!$AK$8:$AP$318,2,FALSE)+K253</f>
        <v>237352</v>
      </c>
      <c r="R253" s="40">
        <f>+VLOOKUP(A253,'Change in Proportion Layers'!$AK$8:$AP$318,3,FALSE)+L253</f>
        <v>475896</v>
      </c>
      <c r="S253" s="40">
        <f>+VLOOKUP(A253,'Change in Proportion Layers'!$AK$8:$AP$318,4,FALSE)+M253</f>
        <v>811205</v>
      </c>
      <c r="T253" s="40">
        <f>+VLOOKUP(A253,'Change in Proportion Layers'!$AK$8:$AP$318,5,FALSE)+N253</f>
        <v>912389</v>
      </c>
      <c r="U253" s="40">
        <f>+VLOOKUP(A253,'Change in Proportion Layers'!$AK$8:$AP$318,6,FALSE)+O253+1</f>
        <v>28597</v>
      </c>
      <c r="W253" s="40">
        <f>('OPEB Amounts_Report'!G253-'OPEB Amounts_Report'!M253)</f>
        <v>2465439</v>
      </c>
      <c r="X253" s="109">
        <f t="shared" ref="X253" si="64">SUM(Q253:U253)-W253</f>
        <v>0</v>
      </c>
    </row>
    <row r="254" spans="1:24">
      <c r="A254" s="24">
        <v>3380</v>
      </c>
      <c r="B254" s="3" t="s">
        <v>235</v>
      </c>
      <c r="C254" s="38">
        <f t="shared" si="43"/>
        <v>-74344</v>
      </c>
      <c r="D254" s="38">
        <f t="shared" si="44"/>
        <v>-61642</v>
      </c>
      <c r="E254" s="38">
        <f t="shared" si="45"/>
        <v>-25682</v>
      </c>
      <c r="F254" s="38">
        <f t="shared" si="46"/>
        <v>457</v>
      </c>
      <c r="G254" s="38">
        <f t="shared" si="47"/>
        <v>321</v>
      </c>
      <c r="I254" s="41"/>
      <c r="K254" s="40">
        <f>ROUND(VLOOKUP($A254,'Contribution Allocation_Report'!$A$9:$D$314,4,FALSE)*$K$321,0)</f>
        <v>-65644</v>
      </c>
      <c r="L254" s="40">
        <f>ROUND(VLOOKUP($A254,'Contribution Allocation_Report'!$A$9:$D$314,4,FALSE)*$L$321,0)</f>
        <v>-44258</v>
      </c>
      <c r="M254" s="40">
        <f>ROUND(VLOOKUP($A254,'Contribution Allocation_Report'!$A$9:$D$314,4,FALSE)*$M$321,0)</f>
        <v>-14196</v>
      </c>
      <c r="N254" s="40">
        <f>ROUND(VLOOKUP($A254,'Contribution Allocation_Report'!$A$9:$D$314,4,FALSE)*$N$321,0)</f>
        <v>584</v>
      </c>
      <c r="O254" s="40">
        <f>ROUND(VLOOKUP($A254,'Contribution Allocation_Report'!$A$9:$D$314,4,FALSE)*$O$321,0)</f>
        <v>-1577</v>
      </c>
      <c r="Q254" s="40">
        <f>+VLOOKUP(A254,'Change in Proportion Layers'!$AK$8:$AP$318,2,FALSE)+K254</f>
        <v>-74344</v>
      </c>
      <c r="R254" s="40">
        <f>+VLOOKUP(A254,'Change in Proportion Layers'!$AK$8:$AP$318,3,FALSE)+L254</f>
        <v>-61642</v>
      </c>
      <c r="S254" s="40">
        <f>+VLOOKUP(A254,'Change in Proportion Layers'!$AK$8:$AP$318,4,FALSE)+M254</f>
        <v>-25682</v>
      </c>
      <c r="T254" s="40">
        <f>+VLOOKUP(A254,'Change in Proportion Layers'!$AK$8:$AP$318,5,FALSE)+N254</f>
        <v>457</v>
      </c>
      <c r="U254" s="40">
        <f>+VLOOKUP(A254,'Change in Proportion Layers'!$AK$8:$AP$318,6,FALSE)+O254+1</f>
        <v>321</v>
      </c>
      <c r="W254" s="40">
        <f>('OPEB Amounts_Report'!G254-'OPEB Amounts_Report'!M254)</f>
        <v>-160890</v>
      </c>
      <c r="X254" s="109">
        <f t="shared" si="48"/>
        <v>0</v>
      </c>
    </row>
    <row r="255" spans="1:24">
      <c r="A255" s="22">
        <v>2420</v>
      </c>
      <c r="B255" s="23" t="s">
        <v>236</v>
      </c>
      <c r="C255" s="37">
        <f t="shared" si="43"/>
        <v>-112524</v>
      </c>
      <c r="D255" s="37">
        <f t="shared" si="44"/>
        <v>-69243</v>
      </c>
      <c r="E255" s="37">
        <f t="shared" si="45"/>
        <v>-5435</v>
      </c>
      <c r="F255" s="37">
        <f t="shared" si="46"/>
        <v>10507</v>
      </c>
      <c r="G255" s="37">
        <f t="shared" si="47"/>
        <v>-702</v>
      </c>
      <c r="I255" s="41"/>
      <c r="K255" s="40">
        <f>ROUND(VLOOKUP($A255,'Contribution Allocation_Report'!$A$9:$D$314,4,FALSE)*$K$321,0)</f>
        <v>-110270</v>
      </c>
      <c r="L255" s="40">
        <f>ROUND(VLOOKUP($A255,'Contribution Allocation_Report'!$A$9:$D$314,4,FALSE)*$L$321,0)</f>
        <v>-74345</v>
      </c>
      <c r="M255" s="40">
        <f>ROUND(VLOOKUP($A255,'Contribution Allocation_Report'!$A$9:$D$314,4,FALSE)*$M$321,0)</f>
        <v>-23846</v>
      </c>
      <c r="N255" s="40">
        <f>ROUND(VLOOKUP($A255,'Contribution Allocation_Report'!$A$9:$D$314,4,FALSE)*$N$321,0)</f>
        <v>982</v>
      </c>
      <c r="O255" s="40">
        <f>ROUND(VLOOKUP($A255,'Contribution Allocation_Report'!$A$9:$D$314,4,FALSE)*$O$321,0)</f>
        <v>-2649</v>
      </c>
      <c r="Q255" s="40">
        <f>+VLOOKUP(A255,'Change in Proportion Layers'!$AK$8:$AP$318,2,FALSE)+K255</f>
        <v>-112524</v>
      </c>
      <c r="R255" s="40">
        <f>+VLOOKUP(A255,'Change in Proportion Layers'!$AK$8:$AP$318,3,FALSE)+L255</f>
        <v>-69243</v>
      </c>
      <c r="S255" s="40">
        <f>+VLOOKUP(A255,'Change in Proportion Layers'!$AK$8:$AP$318,4,FALSE)+M255</f>
        <v>-5435</v>
      </c>
      <c r="T255" s="40">
        <f>+VLOOKUP(A255,'Change in Proportion Layers'!$AK$8:$AP$318,5,FALSE)+N255</f>
        <v>10507</v>
      </c>
      <c r="U255" s="40">
        <f>+VLOOKUP(A255,'Change in Proportion Layers'!$AK$8:$AP$318,6,FALSE)+O255</f>
        <v>-702</v>
      </c>
      <c r="W255" s="40">
        <f>('OPEB Amounts_Report'!G255-'OPEB Amounts_Report'!M255)</f>
        <v>-177397</v>
      </c>
      <c r="X255" s="109">
        <f t="shared" si="48"/>
        <v>0</v>
      </c>
    </row>
    <row r="256" spans="1:24">
      <c r="A256" s="24">
        <v>2740</v>
      </c>
      <c r="B256" s="3" t="s">
        <v>237</v>
      </c>
      <c r="C256" s="38">
        <f t="shared" si="43"/>
        <v>-11875</v>
      </c>
      <c r="D256" s="38">
        <f t="shared" si="44"/>
        <v>-14992</v>
      </c>
      <c r="E256" s="38">
        <f t="shared" si="45"/>
        <v>-13737</v>
      </c>
      <c r="F256" s="38">
        <f t="shared" si="46"/>
        <v>-4319</v>
      </c>
      <c r="G256" s="38">
        <f t="shared" si="47"/>
        <v>1579</v>
      </c>
      <c r="I256" s="41"/>
      <c r="K256" s="40">
        <f>ROUND(VLOOKUP($A256,'Contribution Allocation_Report'!$A$9:$D$314,4,FALSE)*$K$321,0)</f>
        <v>-13312</v>
      </c>
      <c r="L256" s="40">
        <f>ROUND(VLOOKUP($A256,'Contribution Allocation_Report'!$A$9:$D$314,4,FALSE)*$L$321,0)</f>
        <v>-8975</v>
      </c>
      <c r="M256" s="40">
        <f>ROUND(VLOOKUP($A256,'Contribution Allocation_Report'!$A$9:$D$314,4,FALSE)*$M$321,0)</f>
        <v>-2879</v>
      </c>
      <c r="N256" s="40">
        <f>ROUND(VLOOKUP($A256,'Contribution Allocation_Report'!$A$9:$D$314,4,FALSE)*$N$321,0)</f>
        <v>119</v>
      </c>
      <c r="O256" s="40">
        <f>ROUND(VLOOKUP($A256,'Contribution Allocation_Report'!$A$9:$D$314,4,FALSE)*$O$321,0)</f>
        <v>-320</v>
      </c>
      <c r="Q256" s="40">
        <f>+VLOOKUP(A256,'Change in Proportion Layers'!$AK$8:$AP$318,2,FALSE)+K256</f>
        <v>-11875</v>
      </c>
      <c r="R256" s="40">
        <f>+VLOOKUP(A256,'Change in Proportion Layers'!$AK$8:$AP$318,3,FALSE)+L256</f>
        <v>-14992</v>
      </c>
      <c r="S256" s="40">
        <f>+VLOOKUP(A256,'Change in Proportion Layers'!$AK$8:$AP$318,4,FALSE)+M256</f>
        <v>-13737</v>
      </c>
      <c r="T256" s="40">
        <f>+VLOOKUP(A256,'Change in Proportion Layers'!$AK$8:$AP$318,5,FALSE)+N256</f>
        <v>-4319</v>
      </c>
      <c r="U256" s="40">
        <f>+VLOOKUP(A256,'Change in Proportion Layers'!$AK$8:$AP$318,6,FALSE)+O256+1</f>
        <v>1579</v>
      </c>
      <c r="W256" s="40">
        <f>('OPEB Amounts_Report'!G256-'OPEB Amounts_Report'!M256)</f>
        <v>-43344</v>
      </c>
      <c r="X256" s="109">
        <f t="shared" si="48"/>
        <v>0</v>
      </c>
    </row>
    <row r="257" spans="1:24">
      <c r="A257" s="22">
        <v>2346</v>
      </c>
      <c r="B257" s="23" t="s">
        <v>915</v>
      </c>
      <c r="C257" s="37">
        <f t="shared" si="43"/>
        <v>-73928</v>
      </c>
      <c r="D257" s="37">
        <f t="shared" si="44"/>
        <v>-49461</v>
      </c>
      <c r="E257" s="37">
        <f t="shared" si="45"/>
        <v>-33766</v>
      </c>
      <c r="F257" s="37">
        <f t="shared" si="46"/>
        <v>-14324</v>
      </c>
      <c r="G257" s="37">
        <f t="shared" si="47"/>
        <v>1060</v>
      </c>
      <c r="I257" s="41"/>
      <c r="K257" s="40">
        <f>ROUND(VLOOKUP($A257,'Contribution Allocation_Report'!$A$9:$D$314,4,FALSE)*$K$321,0)</f>
        <v>-73167</v>
      </c>
      <c r="L257" s="40">
        <f>ROUND(VLOOKUP($A257,'Contribution Allocation_Report'!$A$9:$D$314,4,FALSE)*$L$321,0)</f>
        <v>-49330</v>
      </c>
      <c r="M257" s="40">
        <f>ROUND(VLOOKUP($A257,'Contribution Allocation_Report'!$A$9:$D$314,4,FALSE)*$M$321,0)</f>
        <v>-15823</v>
      </c>
      <c r="N257" s="40">
        <f>ROUND(VLOOKUP($A257,'Contribution Allocation_Report'!$A$9:$D$314,4,FALSE)*$N$321,0)</f>
        <v>651</v>
      </c>
      <c r="O257" s="40">
        <f>ROUND(VLOOKUP($A257,'Contribution Allocation_Report'!$A$9:$D$314,4,FALSE)*$O$321,0)</f>
        <v>-1758</v>
      </c>
      <c r="Q257" s="40">
        <f>+VLOOKUP(A257,'Change in Proportion Layers'!$AK$8:$AP$318,2,FALSE)+K257</f>
        <v>-73928</v>
      </c>
      <c r="R257" s="40">
        <f>+VLOOKUP(A257,'Change in Proportion Layers'!$AK$8:$AP$318,3,FALSE)+L257</f>
        <v>-49461</v>
      </c>
      <c r="S257" s="40">
        <f>+VLOOKUP(A257,'Change in Proportion Layers'!$AK$8:$AP$318,4,FALSE)+M257</f>
        <v>-33766</v>
      </c>
      <c r="T257" s="40">
        <f>+VLOOKUP(A257,'Change in Proportion Layers'!$AK$8:$AP$318,5,FALSE)+N257</f>
        <v>-14324</v>
      </c>
      <c r="U257" s="40">
        <f>+VLOOKUP(A257,'Change in Proportion Layers'!$AK$8:$AP$318,6,FALSE)+O257+1</f>
        <v>1060</v>
      </c>
      <c r="W257" s="40">
        <f>('OPEB Amounts_Report'!G257-'OPEB Amounts_Report'!M257)</f>
        <v>-170419</v>
      </c>
      <c r="X257" s="109">
        <f t="shared" si="48"/>
        <v>0</v>
      </c>
    </row>
    <row r="258" spans="1:24">
      <c r="A258" s="24">
        <v>21150</v>
      </c>
      <c r="B258" s="3" t="s">
        <v>239</v>
      </c>
      <c r="C258" s="38">
        <f t="shared" si="43"/>
        <v>-117829</v>
      </c>
      <c r="D258" s="38">
        <f t="shared" si="44"/>
        <v>-60933</v>
      </c>
      <c r="E258" s="38">
        <f t="shared" si="45"/>
        <v>36605</v>
      </c>
      <c r="F258" s="38">
        <f t="shared" si="46"/>
        <v>74048</v>
      </c>
      <c r="G258" s="38">
        <f t="shared" si="47"/>
        <v>-52347</v>
      </c>
      <c r="I258" s="41"/>
      <c r="K258" s="40">
        <f>ROUND(VLOOKUP($A258,'Contribution Allocation_Report'!$A$9:$D$314,4,FALSE)*$K$321,0)</f>
        <v>-263048</v>
      </c>
      <c r="L258" s="40">
        <f>ROUND(VLOOKUP($A258,'Contribution Allocation_Report'!$A$9:$D$314,4,FALSE)*$L$321,0)</f>
        <v>-177348</v>
      </c>
      <c r="M258" s="40">
        <f>ROUND(VLOOKUP($A258,'Contribution Allocation_Report'!$A$9:$D$314,4,FALSE)*$M$321,0)</f>
        <v>-56884</v>
      </c>
      <c r="N258" s="40">
        <f>ROUND(VLOOKUP($A258,'Contribution Allocation_Report'!$A$9:$D$314,4,FALSE)*$N$321,0)</f>
        <v>2342</v>
      </c>
      <c r="O258" s="40">
        <f>ROUND(VLOOKUP($A258,'Contribution Allocation_Report'!$A$9:$D$314,4,FALSE)*$O$321,0)</f>
        <v>-6320</v>
      </c>
      <c r="Q258" s="40">
        <f>+VLOOKUP(A258,'Change in Proportion Layers'!$AK$8:$AP$318,2,FALSE)+K258</f>
        <v>-117829</v>
      </c>
      <c r="R258" s="40">
        <f>+VLOOKUP(A258,'Change in Proportion Layers'!$AK$8:$AP$318,3,FALSE)+L258</f>
        <v>-60933</v>
      </c>
      <c r="S258" s="40">
        <f>+VLOOKUP(A258,'Change in Proportion Layers'!$AK$8:$AP$318,4,FALSE)+M258</f>
        <v>36605</v>
      </c>
      <c r="T258" s="40">
        <f>+VLOOKUP(A258,'Change in Proportion Layers'!$AK$8:$AP$318,5,FALSE)+N258</f>
        <v>74048</v>
      </c>
      <c r="U258" s="40">
        <f>+VLOOKUP(A258,'Change in Proportion Layers'!$AK$8:$AP$318,6,FALSE)+O258-1</f>
        <v>-52347</v>
      </c>
      <c r="W258" s="40">
        <f>('OPEB Amounts_Report'!G258-'OPEB Amounts_Report'!M258)</f>
        <v>-120456</v>
      </c>
      <c r="X258" s="109">
        <f t="shared" si="48"/>
        <v>0</v>
      </c>
    </row>
    <row r="259" spans="1:24">
      <c r="A259" s="22">
        <v>4520</v>
      </c>
      <c r="B259" s="23" t="s">
        <v>241</v>
      </c>
      <c r="C259" s="37">
        <f t="shared" si="43"/>
        <v>-11581</v>
      </c>
      <c r="D259" s="37">
        <f t="shared" si="44"/>
        <v>-9937</v>
      </c>
      <c r="E259" s="37">
        <f t="shared" si="45"/>
        <v>-5385</v>
      </c>
      <c r="F259" s="37">
        <f t="shared" si="46"/>
        <v>-1050</v>
      </c>
      <c r="G259" s="37">
        <f t="shared" si="47"/>
        <v>-991</v>
      </c>
      <c r="I259" s="41"/>
      <c r="K259" s="40">
        <f>ROUND(VLOOKUP($A259,'Contribution Allocation_Report'!$A$9:$D$314,4,FALSE)*$K$321,0)</f>
        <v>-10335</v>
      </c>
      <c r="L259" s="40">
        <f>ROUND(VLOOKUP($A259,'Contribution Allocation_Report'!$A$9:$D$314,4,FALSE)*$L$321,0)</f>
        <v>-6968</v>
      </c>
      <c r="M259" s="40">
        <f>ROUND(VLOOKUP($A259,'Contribution Allocation_Report'!$A$9:$D$314,4,FALSE)*$M$321,0)</f>
        <v>-2235</v>
      </c>
      <c r="N259" s="40">
        <f>ROUND(VLOOKUP($A259,'Contribution Allocation_Report'!$A$9:$D$314,4,FALSE)*$N$321,0)</f>
        <v>92</v>
      </c>
      <c r="O259" s="40">
        <f>ROUND(VLOOKUP($A259,'Contribution Allocation_Report'!$A$9:$D$314,4,FALSE)*$O$321,0)</f>
        <v>-248</v>
      </c>
      <c r="Q259" s="40">
        <f>+VLOOKUP(A259,'Change in Proportion Layers'!$AK$8:$AP$318,2,FALSE)+K259</f>
        <v>-11581</v>
      </c>
      <c r="R259" s="40">
        <f>+VLOOKUP(A259,'Change in Proportion Layers'!$AK$8:$AP$318,3,FALSE)+L259</f>
        <v>-9937</v>
      </c>
      <c r="S259" s="40">
        <f>+VLOOKUP(A259,'Change in Proportion Layers'!$AK$8:$AP$318,4,FALSE)+M259</f>
        <v>-5385</v>
      </c>
      <c r="T259" s="40">
        <f>+VLOOKUP(A259,'Change in Proportion Layers'!$AK$8:$AP$318,5,FALSE)+N259</f>
        <v>-1050</v>
      </c>
      <c r="U259" s="40">
        <f>+VLOOKUP(A259,'Change in Proportion Layers'!$AK$8:$AP$318,6,FALSE)+O259-1</f>
        <v>-991</v>
      </c>
      <c r="W259" s="40">
        <f>('OPEB Amounts_Report'!G259-'OPEB Amounts_Report'!M259)</f>
        <v>-28944</v>
      </c>
      <c r="X259" s="109">
        <f t="shared" si="48"/>
        <v>0</v>
      </c>
    </row>
    <row r="260" spans="1:24">
      <c r="A260" s="24">
        <v>9030</v>
      </c>
      <c r="B260" s="3" t="s">
        <v>242</v>
      </c>
      <c r="C260" s="38">
        <f t="shared" si="43"/>
        <v>-125879</v>
      </c>
      <c r="D260" s="38">
        <f t="shared" si="44"/>
        <v>-91834</v>
      </c>
      <c r="E260" s="38">
        <f t="shared" si="45"/>
        <v>-40481</v>
      </c>
      <c r="F260" s="38">
        <f t="shared" si="46"/>
        <v>444</v>
      </c>
      <c r="G260" s="38">
        <f t="shared" si="47"/>
        <v>-3582</v>
      </c>
      <c r="I260" s="41"/>
      <c r="K260" s="40">
        <f>ROUND(VLOOKUP($A260,'Contribution Allocation_Report'!$A$9:$D$314,4,FALSE)*$K$321,0)</f>
        <v>-106714</v>
      </c>
      <c r="L260" s="40">
        <f>ROUND(VLOOKUP($A260,'Contribution Allocation_Report'!$A$9:$D$314,4,FALSE)*$L$321,0)</f>
        <v>-71947</v>
      </c>
      <c r="M260" s="40">
        <f>ROUND(VLOOKUP($A260,'Contribution Allocation_Report'!$A$9:$D$314,4,FALSE)*$M$321,0)</f>
        <v>-23077</v>
      </c>
      <c r="N260" s="40">
        <f>ROUND(VLOOKUP($A260,'Contribution Allocation_Report'!$A$9:$D$314,4,FALSE)*$N$321,0)</f>
        <v>950</v>
      </c>
      <c r="O260" s="40">
        <f>ROUND(VLOOKUP($A260,'Contribution Allocation_Report'!$A$9:$D$314,4,FALSE)*$O$321,0)</f>
        <v>-2564</v>
      </c>
      <c r="Q260" s="40">
        <f>+VLOOKUP(A260,'Change in Proportion Layers'!$AK$8:$AP$318,2,FALSE)+K260</f>
        <v>-125879</v>
      </c>
      <c r="R260" s="40">
        <f>+VLOOKUP(A260,'Change in Proportion Layers'!$AK$8:$AP$318,3,FALSE)+L260</f>
        <v>-91834</v>
      </c>
      <c r="S260" s="40">
        <f>+VLOOKUP(A260,'Change in Proportion Layers'!$AK$8:$AP$318,4,FALSE)+M260</f>
        <v>-40481</v>
      </c>
      <c r="T260" s="40">
        <f>+VLOOKUP(A260,'Change in Proportion Layers'!$AK$8:$AP$318,5,FALSE)+N260</f>
        <v>444</v>
      </c>
      <c r="U260" s="40">
        <f>+VLOOKUP(A260,'Change in Proportion Layers'!$AK$8:$AP$318,6,FALSE)+O260</f>
        <v>-3582</v>
      </c>
      <c r="W260" s="40">
        <f>('OPEB Amounts_Report'!G260-'OPEB Amounts_Report'!M260)</f>
        <v>-261332</v>
      </c>
      <c r="X260" s="109">
        <f t="shared" si="48"/>
        <v>0</v>
      </c>
    </row>
    <row r="261" spans="1:24">
      <c r="A261" s="22">
        <v>20265</v>
      </c>
      <c r="B261" s="23" t="s">
        <v>243</v>
      </c>
      <c r="C261" s="37">
        <f t="shared" si="43"/>
        <v>-106329</v>
      </c>
      <c r="D261" s="37">
        <f t="shared" si="44"/>
        <v>-36256</v>
      </c>
      <c r="E261" s="37">
        <f t="shared" si="45"/>
        <v>-12566</v>
      </c>
      <c r="F261" s="37">
        <f t="shared" si="46"/>
        <v>-5392</v>
      </c>
      <c r="G261" s="37">
        <f t="shared" si="47"/>
        <v>-6597</v>
      </c>
      <c r="I261" s="41"/>
      <c r="K261" s="40">
        <f>ROUND(VLOOKUP($A261,'Contribution Allocation_Report'!$A$9:$D$314,4,FALSE)*$K$321,0)</f>
        <v>-152048</v>
      </c>
      <c r="L261" s="40">
        <f>ROUND(VLOOKUP($A261,'Contribution Allocation_Report'!$A$9:$D$314,4,FALSE)*$L$321,0)</f>
        <v>-102512</v>
      </c>
      <c r="M261" s="40">
        <f>ROUND(VLOOKUP($A261,'Contribution Allocation_Report'!$A$9:$D$314,4,FALSE)*$M$321,0)</f>
        <v>-32881</v>
      </c>
      <c r="N261" s="40">
        <f>ROUND(VLOOKUP($A261,'Contribution Allocation_Report'!$A$9:$D$314,4,FALSE)*$N$321,0)</f>
        <v>1354</v>
      </c>
      <c r="O261" s="40">
        <f>ROUND(VLOOKUP($A261,'Contribution Allocation_Report'!$A$9:$D$314,4,FALSE)*$O$321,0)</f>
        <v>-3653</v>
      </c>
      <c r="Q261" s="40">
        <f>+VLOOKUP(A261,'Change in Proportion Layers'!$AK$8:$AP$318,2,FALSE)+K261</f>
        <v>-106329</v>
      </c>
      <c r="R261" s="40">
        <f>+VLOOKUP(A261,'Change in Proportion Layers'!$AK$8:$AP$318,3,FALSE)+L261</f>
        <v>-36256</v>
      </c>
      <c r="S261" s="40">
        <f>+VLOOKUP(A261,'Change in Proportion Layers'!$AK$8:$AP$318,4,FALSE)+M261</f>
        <v>-12566</v>
      </c>
      <c r="T261" s="40">
        <f>+VLOOKUP(A261,'Change in Proportion Layers'!$AK$8:$AP$318,5,FALSE)+N261</f>
        <v>-5392</v>
      </c>
      <c r="U261" s="40">
        <f>+VLOOKUP(A261,'Change in Proportion Layers'!$AK$8:$AP$318,6,FALSE)+O261</f>
        <v>-6597</v>
      </c>
      <c r="W261" s="40">
        <f>('OPEB Amounts_Report'!G261-'OPEB Amounts_Report'!M261)</f>
        <v>-167140</v>
      </c>
      <c r="X261" s="109">
        <f t="shared" si="48"/>
        <v>0</v>
      </c>
    </row>
    <row r="262" spans="1:24">
      <c r="A262" s="24">
        <v>20307</v>
      </c>
      <c r="B262" s="3" t="s">
        <v>244</v>
      </c>
      <c r="C262" s="38">
        <f t="shared" si="43"/>
        <v>-65972</v>
      </c>
      <c r="D262" s="38">
        <f t="shared" si="44"/>
        <v>-60143</v>
      </c>
      <c r="E262" s="38">
        <f t="shared" si="45"/>
        <v>-31038</v>
      </c>
      <c r="F262" s="38">
        <f t="shared" si="46"/>
        <v>-8938</v>
      </c>
      <c r="G262" s="38">
        <f t="shared" si="47"/>
        <v>-12358</v>
      </c>
      <c r="I262" s="41"/>
      <c r="K262" s="40">
        <f>ROUND(VLOOKUP($A262,'Contribution Allocation_Report'!$A$9:$D$314,4,FALSE)*$K$321,0)</f>
        <v>-120002</v>
      </c>
      <c r="L262" s="40">
        <f>ROUND(VLOOKUP($A262,'Contribution Allocation_Report'!$A$9:$D$314,4,FALSE)*$L$321,0)</f>
        <v>-80906</v>
      </c>
      <c r="M262" s="40">
        <f>ROUND(VLOOKUP($A262,'Contribution Allocation_Report'!$A$9:$D$314,4,FALSE)*$M$321,0)</f>
        <v>-25951</v>
      </c>
      <c r="N262" s="40">
        <f>ROUND(VLOOKUP($A262,'Contribution Allocation_Report'!$A$9:$D$314,4,FALSE)*$N$321,0)</f>
        <v>1068</v>
      </c>
      <c r="O262" s="40">
        <f>ROUND(VLOOKUP($A262,'Contribution Allocation_Report'!$A$9:$D$314,4,FALSE)*$O$321,0)</f>
        <v>-2883</v>
      </c>
      <c r="Q262" s="40">
        <f>+VLOOKUP(A262,'Change in Proportion Layers'!$AK$8:$AP$318,2,FALSE)+K262</f>
        <v>-65972</v>
      </c>
      <c r="R262" s="40">
        <f>+VLOOKUP(A262,'Change in Proportion Layers'!$AK$8:$AP$318,3,FALSE)+L262</f>
        <v>-60143</v>
      </c>
      <c r="S262" s="40">
        <f>+VLOOKUP(A262,'Change in Proportion Layers'!$AK$8:$AP$318,4,FALSE)+M262</f>
        <v>-31038</v>
      </c>
      <c r="T262" s="40">
        <f>+VLOOKUP(A262,'Change in Proportion Layers'!$AK$8:$AP$318,5,FALSE)+N262</f>
        <v>-8938</v>
      </c>
      <c r="U262" s="40">
        <f>+VLOOKUP(A262,'Change in Proportion Layers'!$AK$8:$AP$318,6,FALSE)+O262</f>
        <v>-12358</v>
      </c>
      <c r="W262" s="40">
        <f>('OPEB Amounts_Report'!G262-'OPEB Amounts_Report'!M262)</f>
        <v>-178449</v>
      </c>
      <c r="X262" s="109">
        <f t="shared" si="48"/>
        <v>0</v>
      </c>
    </row>
    <row r="263" spans="1:24">
      <c r="A263" s="22">
        <v>3320</v>
      </c>
      <c r="B263" s="23" t="s">
        <v>245</v>
      </c>
      <c r="C263" s="37">
        <f t="shared" si="43"/>
        <v>-786588</v>
      </c>
      <c r="D263" s="37">
        <f t="shared" si="44"/>
        <v>-583773</v>
      </c>
      <c r="E263" s="37">
        <f t="shared" si="45"/>
        <v>-129312</v>
      </c>
      <c r="F263" s="37">
        <f t="shared" si="46"/>
        <v>126012</v>
      </c>
      <c r="G263" s="37">
        <f t="shared" si="47"/>
        <v>-21563</v>
      </c>
      <c r="I263" s="41"/>
      <c r="K263" s="40">
        <f>ROUND(VLOOKUP($A263,'Contribution Allocation_Report'!$A$9:$D$314,4,FALSE)*$K$321,0)</f>
        <v>-806356</v>
      </c>
      <c r="L263" s="40">
        <f>ROUND(VLOOKUP($A263,'Contribution Allocation_Report'!$A$9:$D$314,4,FALSE)*$L$321,0)</f>
        <v>-543649</v>
      </c>
      <c r="M263" s="40">
        <f>ROUND(VLOOKUP($A263,'Contribution Allocation_Report'!$A$9:$D$314,4,FALSE)*$M$321,0)</f>
        <v>-174376</v>
      </c>
      <c r="N263" s="40">
        <f>ROUND(VLOOKUP($A263,'Contribution Allocation_Report'!$A$9:$D$314,4,FALSE)*$N$321,0)</f>
        <v>7178</v>
      </c>
      <c r="O263" s="40">
        <f>ROUND(VLOOKUP($A263,'Contribution Allocation_Report'!$A$9:$D$314,4,FALSE)*$O$321,0)</f>
        <v>-19374</v>
      </c>
      <c r="Q263" s="40">
        <f>+VLOOKUP(A263,'Change in Proportion Layers'!$AK$8:$AP$318,2,FALSE)+K263</f>
        <v>-786588</v>
      </c>
      <c r="R263" s="40">
        <f>+VLOOKUP(A263,'Change in Proportion Layers'!$AK$8:$AP$318,3,FALSE)+L263</f>
        <v>-583773</v>
      </c>
      <c r="S263" s="40">
        <f>+VLOOKUP(A263,'Change in Proportion Layers'!$AK$8:$AP$318,4,FALSE)+M263</f>
        <v>-129312</v>
      </c>
      <c r="T263" s="40">
        <f>+VLOOKUP(A263,'Change in Proportion Layers'!$AK$8:$AP$318,5,FALSE)+N263</f>
        <v>126012</v>
      </c>
      <c r="U263" s="40">
        <f>+VLOOKUP(A263,'Change in Proportion Layers'!$AK$8:$AP$318,6,FALSE)+O263+1</f>
        <v>-21563</v>
      </c>
      <c r="W263" s="40">
        <f>('OPEB Amounts_Report'!G263-'OPEB Amounts_Report'!M263)</f>
        <v>-1395224</v>
      </c>
      <c r="X263" s="109">
        <f t="shared" si="48"/>
        <v>0</v>
      </c>
    </row>
    <row r="264" spans="1:24">
      <c r="A264" s="24">
        <v>20415</v>
      </c>
      <c r="B264" s="3" t="s">
        <v>246</v>
      </c>
      <c r="C264" s="38">
        <f t="shared" si="43"/>
        <v>-52864</v>
      </c>
      <c r="D264" s="38">
        <f t="shared" si="44"/>
        <v>-31142</v>
      </c>
      <c r="E264" s="38">
        <f t="shared" si="45"/>
        <v>-17034</v>
      </c>
      <c r="F264" s="38">
        <f t="shared" si="46"/>
        <v>-5047</v>
      </c>
      <c r="G264" s="38">
        <f t="shared" si="47"/>
        <v>-2293</v>
      </c>
      <c r="I264" s="41"/>
      <c r="K264" s="40">
        <f>ROUND(VLOOKUP($A264,'Contribution Allocation_Report'!$A$9:$D$314,4,FALSE)*$K$321,0)</f>
        <v>-95947</v>
      </c>
      <c r="L264" s="40">
        <f>ROUND(VLOOKUP($A264,'Contribution Allocation_Report'!$A$9:$D$314,4,FALSE)*$L$321,0)</f>
        <v>-64688</v>
      </c>
      <c r="M264" s="40">
        <f>ROUND(VLOOKUP($A264,'Contribution Allocation_Report'!$A$9:$D$314,4,FALSE)*$M$321,0)</f>
        <v>-20749</v>
      </c>
      <c r="N264" s="40">
        <f>ROUND(VLOOKUP($A264,'Contribution Allocation_Report'!$A$9:$D$314,4,FALSE)*$N$321,0)</f>
        <v>854</v>
      </c>
      <c r="O264" s="40">
        <f>ROUND(VLOOKUP($A264,'Contribution Allocation_Report'!$A$9:$D$314,4,FALSE)*$O$321,0)</f>
        <v>-2305</v>
      </c>
      <c r="Q264" s="40">
        <f>+VLOOKUP(A264,'Change in Proportion Layers'!$AK$8:$AP$318,2,FALSE)+K264</f>
        <v>-52864</v>
      </c>
      <c r="R264" s="40">
        <f>+VLOOKUP(A264,'Change in Proportion Layers'!$AK$8:$AP$318,3,FALSE)+L264</f>
        <v>-31142</v>
      </c>
      <c r="S264" s="40">
        <f>+VLOOKUP(A264,'Change in Proportion Layers'!$AK$8:$AP$318,4,FALSE)+M264</f>
        <v>-17034</v>
      </c>
      <c r="T264" s="40">
        <f>+VLOOKUP(A264,'Change in Proportion Layers'!$AK$8:$AP$318,5,FALSE)+N264</f>
        <v>-5047</v>
      </c>
      <c r="U264" s="40">
        <f>+VLOOKUP(A264,'Change in Proportion Layers'!$AK$8:$AP$318,6,FALSE)+O264</f>
        <v>-2293</v>
      </c>
      <c r="W264" s="40">
        <f>('OPEB Amounts_Report'!G264-'OPEB Amounts_Report'!M264)</f>
        <v>-108380</v>
      </c>
      <c r="X264" s="109">
        <f t="shared" si="48"/>
        <v>0</v>
      </c>
    </row>
    <row r="265" spans="1:24">
      <c r="A265" s="22">
        <v>20435</v>
      </c>
      <c r="B265" s="23" t="s">
        <v>407</v>
      </c>
      <c r="C265" s="37">
        <f t="shared" si="43"/>
        <v>-73114</v>
      </c>
      <c r="D265" s="37">
        <f t="shared" si="44"/>
        <v>-47450</v>
      </c>
      <c r="E265" s="37">
        <f t="shared" si="45"/>
        <v>-45463</v>
      </c>
      <c r="F265" s="37">
        <f t="shared" si="46"/>
        <v>-40859</v>
      </c>
      <c r="G265" s="37">
        <f t="shared" si="47"/>
        <v>-12055</v>
      </c>
      <c r="I265" s="41"/>
      <c r="K265" s="40">
        <f>ROUND(VLOOKUP($A265,'Contribution Allocation_Report'!$A$9:$D$314,4,FALSE)*$K$321,0)</f>
        <v>-96919</v>
      </c>
      <c r="L265" s="40">
        <f>ROUND(VLOOKUP($A265,'Contribution Allocation_Report'!$A$9:$D$314,4,FALSE)*$L$321,0)</f>
        <v>-65343</v>
      </c>
      <c r="M265" s="40">
        <f>ROUND(VLOOKUP($A265,'Contribution Allocation_Report'!$A$9:$D$314,4,FALSE)*$M$321,0)</f>
        <v>-20959</v>
      </c>
      <c r="N265" s="40">
        <f>ROUND(VLOOKUP($A265,'Contribution Allocation_Report'!$A$9:$D$314,4,FALSE)*$N$321,0)</f>
        <v>863</v>
      </c>
      <c r="O265" s="40">
        <f>ROUND(VLOOKUP($A265,'Contribution Allocation_Report'!$A$9:$D$314,4,FALSE)*$O$321,0)</f>
        <v>-2329</v>
      </c>
      <c r="Q265" s="40">
        <f>+VLOOKUP(A265,'Change in Proportion Layers'!$AK$8:$AP$318,2,FALSE)+K265</f>
        <v>-73114</v>
      </c>
      <c r="R265" s="40">
        <f>+VLOOKUP(A265,'Change in Proportion Layers'!$AK$8:$AP$318,3,FALSE)+L265</f>
        <v>-47450</v>
      </c>
      <c r="S265" s="40">
        <f>+VLOOKUP(A265,'Change in Proportion Layers'!$AK$8:$AP$318,4,FALSE)+M265</f>
        <v>-45463</v>
      </c>
      <c r="T265" s="40">
        <f>+VLOOKUP(A265,'Change in Proportion Layers'!$AK$8:$AP$318,5,FALSE)+N265</f>
        <v>-40859</v>
      </c>
      <c r="U265" s="40">
        <f>+VLOOKUP(A265,'Change in Proportion Layers'!$AK$8:$AP$318,6,FALSE)+O265</f>
        <v>-12055</v>
      </c>
      <c r="W265" s="40">
        <f>('OPEB Amounts_Report'!G265-'OPEB Amounts_Report'!M265)</f>
        <v>-218941</v>
      </c>
      <c r="X265" s="109">
        <f t="shared" si="48"/>
        <v>0</v>
      </c>
    </row>
    <row r="266" spans="1:24">
      <c r="A266" s="24">
        <v>20062</v>
      </c>
      <c r="B266" s="3" t="s">
        <v>247</v>
      </c>
      <c r="C266" s="38">
        <f t="shared" si="43"/>
        <v>-1290013</v>
      </c>
      <c r="D266" s="38">
        <f t="shared" si="44"/>
        <v>-1028309</v>
      </c>
      <c r="E266" s="38">
        <f t="shared" si="45"/>
        <v>-413228</v>
      </c>
      <c r="F266" s="38">
        <f t="shared" si="46"/>
        <v>-151891</v>
      </c>
      <c r="G266" s="38">
        <f t="shared" si="47"/>
        <v>-33837</v>
      </c>
      <c r="I266" s="41"/>
      <c r="K266" s="40">
        <f>ROUND(VLOOKUP($A266,'Contribution Allocation_Report'!$A$9:$D$314,4,FALSE)*$K$321,0)</f>
        <v>-1059123</v>
      </c>
      <c r="L266" s="40">
        <f>ROUND(VLOOKUP($A266,'Contribution Allocation_Report'!$A$9:$D$314,4,FALSE)*$L$321,0)</f>
        <v>-714066</v>
      </c>
      <c r="M266" s="40">
        <f>ROUND(VLOOKUP($A266,'Contribution Allocation_Report'!$A$9:$D$314,4,FALSE)*$M$321,0)</f>
        <v>-229037</v>
      </c>
      <c r="N266" s="40">
        <f>ROUND(VLOOKUP($A266,'Contribution Allocation_Report'!$A$9:$D$314,4,FALSE)*$N$321,0)</f>
        <v>9428</v>
      </c>
      <c r="O266" s="40">
        <f>ROUND(VLOOKUP($A266,'Contribution Allocation_Report'!$A$9:$D$314,4,FALSE)*$O$321,0)</f>
        <v>-25447</v>
      </c>
      <c r="Q266" s="40">
        <f>+VLOOKUP(A266,'Change in Proportion Layers'!$AK$8:$AP$318,2,FALSE)+K266</f>
        <v>-1290013</v>
      </c>
      <c r="R266" s="40">
        <f>+VLOOKUP(A266,'Change in Proportion Layers'!$AK$8:$AP$318,3,FALSE)+L266</f>
        <v>-1028309</v>
      </c>
      <c r="S266" s="40">
        <f>+VLOOKUP(A266,'Change in Proportion Layers'!$AK$8:$AP$318,4,FALSE)+M266</f>
        <v>-413228</v>
      </c>
      <c r="T266" s="40">
        <f>+VLOOKUP(A266,'Change in Proportion Layers'!$AK$8:$AP$318,5,FALSE)+N266</f>
        <v>-151891</v>
      </c>
      <c r="U266" s="40">
        <f>+VLOOKUP(A266,'Change in Proportion Layers'!$AK$8:$AP$318,6,FALSE)+O266+1</f>
        <v>-33837</v>
      </c>
      <c r="W266" s="40">
        <f>('OPEB Amounts_Report'!G266-'OPEB Amounts_Report'!M266)</f>
        <v>-2917278</v>
      </c>
      <c r="X266" s="109">
        <f t="shared" si="48"/>
        <v>0</v>
      </c>
    </row>
    <row r="267" spans="1:24">
      <c r="A267" s="22">
        <v>3410</v>
      </c>
      <c r="B267" s="23" t="s">
        <v>457</v>
      </c>
      <c r="C267" s="37">
        <f t="shared" ref="C267" si="65">+Q267</f>
        <v>7339</v>
      </c>
      <c r="D267" s="37">
        <f t="shared" ref="D267" si="66">+R267</f>
        <v>17076</v>
      </c>
      <c r="E267" s="37">
        <f t="shared" ref="E267" si="67">+S267</f>
        <v>30762</v>
      </c>
      <c r="F267" s="37">
        <f t="shared" ref="F267" si="68">+T267</f>
        <v>36167</v>
      </c>
      <c r="G267" s="37">
        <f t="shared" ref="G267" si="69">+U267</f>
        <v>13414</v>
      </c>
      <c r="I267" s="41"/>
      <c r="K267" s="40">
        <f>ROUND(VLOOKUP($A267,'Contribution Allocation_Report'!$A$9:$D$314,4,FALSE)*$K$321,0)</f>
        <v>-29886</v>
      </c>
      <c r="L267" s="40">
        <f>ROUND(VLOOKUP($A267,'Contribution Allocation_Report'!$A$9:$D$314,4,FALSE)*$L$321,0)</f>
        <v>-20149</v>
      </c>
      <c r="M267" s="40">
        <f>ROUND(VLOOKUP($A267,'Contribution Allocation_Report'!$A$9:$D$314,4,FALSE)*$M$321,0)</f>
        <v>-6463</v>
      </c>
      <c r="N267" s="40">
        <f>ROUND(VLOOKUP($A267,'Contribution Allocation_Report'!$A$9:$D$314,4,FALSE)*$N$321,0)</f>
        <v>266</v>
      </c>
      <c r="O267" s="40">
        <f>ROUND(VLOOKUP($A267,'Contribution Allocation_Report'!$A$9:$D$314,4,FALSE)*$O$321,0)</f>
        <v>-718</v>
      </c>
      <c r="Q267" s="40">
        <f>+VLOOKUP(A267,'Change in Proportion Layers'!$AK$8:$AP$318,2,FALSE)+K267</f>
        <v>7339</v>
      </c>
      <c r="R267" s="40">
        <f>+VLOOKUP(A267,'Change in Proportion Layers'!$AK$8:$AP$318,3,FALSE)+L267</f>
        <v>17076</v>
      </c>
      <c r="S267" s="40">
        <f>+VLOOKUP(A267,'Change in Proportion Layers'!$AK$8:$AP$318,4,FALSE)+M267</f>
        <v>30762</v>
      </c>
      <c r="T267" s="40">
        <f>+VLOOKUP(A267,'Change in Proportion Layers'!$AK$8:$AP$318,5,FALSE)+N267</f>
        <v>36167</v>
      </c>
      <c r="U267" s="40">
        <f>+VLOOKUP(A267,'Change in Proportion Layers'!$AK$8:$AP$318,6,FALSE)+O267-1</f>
        <v>13414</v>
      </c>
      <c r="W267" s="40">
        <f>('OPEB Amounts_Report'!G267-'OPEB Amounts_Report'!M267)</f>
        <v>104758</v>
      </c>
      <c r="X267" s="109">
        <f t="shared" ref="X267" si="70">SUM(Q267:U267)-W267</f>
        <v>0</v>
      </c>
    </row>
    <row r="268" spans="1:24">
      <c r="A268" s="24">
        <v>6020</v>
      </c>
      <c r="B268" s="3" t="s">
        <v>248</v>
      </c>
      <c r="C268" s="38">
        <f t="shared" si="43"/>
        <v>-232485</v>
      </c>
      <c r="D268" s="38">
        <f t="shared" si="44"/>
        <v>-177465</v>
      </c>
      <c r="E268" s="38">
        <f t="shared" si="45"/>
        <v>-64193</v>
      </c>
      <c r="F268" s="38">
        <f t="shared" si="46"/>
        <v>-20972</v>
      </c>
      <c r="G268" s="38">
        <f t="shared" si="47"/>
        <v>-11117</v>
      </c>
      <c r="I268" s="41"/>
      <c r="K268" s="40">
        <f>ROUND(VLOOKUP($A268,'Contribution Allocation_Report'!$A$9:$D$314,4,FALSE)*$K$321,0)</f>
        <v>-219688</v>
      </c>
      <c r="L268" s="40">
        <f>ROUND(VLOOKUP($A268,'Contribution Allocation_Report'!$A$9:$D$314,4,FALSE)*$L$321,0)</f>
        <v>-148115</v>
      </c>
      <c r="M268" s="40">
        <f>ROUND(VLOOKUP($A268,'Contribution Allocation_Report'!$A$9:$D$314,4,FALSE)*$M$321,0)</f>
        <v>-47508</v>
      </c>
      <c r="N268" s="40">
        <f>ROUND(VLOOKUP($A268,'Contribution Allocation_Report'!$A$9:$D$314,4,FALSE)*$N$321,0)</f>
        <v>1956</v>
      </c>
      <c r="O268" s="40">
        <f>ROUND(VLOOKUP($A268,'Contribution Allocation_Report'!$A$9:$D$314,4,FALSE)*$O$321,0)</f>
        <v>-5278</v>
      </c>
      <c r="Q268" s="40">
        <f>+VLOOKUP(A268,'Change in Proportion Layers'!$AK$8:$AP$318,2,FALSE)+K268</f>
        <v>-232485</v>
      </c>
      <c r="R268" s="40">
        <f>+VLOOKUP(A268,'Change in Proportion Layers'!$AK$8:$AP$318,3,FALSE)+L268</f>
        <v>-177465</v>
      </c>
      <c r="S268" s="40">
        <f>+VLOOKUP(A268,'Change in Proportion Layers'!$AK$8:$AP$318,4,FALSE)+M268</f>
        <v>-64193</v>
      </c>
      <c r="T268" s="40">
        <f>+VLOOKUP(A268,'Change in Proportion Layers'!$AK$8:$AP$318,5,FALSE)+N268</f>
        <v>-20972</v>
      </c>
      <c r="U268" s="40">
        <f>+VLOOKUP(A268,'Change in Proportion Layers'!$AK$8:$AP$318,6,FALSE)+O268</f>
        <v>-11117</v>
      </c>
      <c r="W268" s="40">
        <f>('OPEB Amounts_Report'!G268-'OPEB Amounts_Report'!M268)</f>
        <v>-506232</v>
      </c>
      <c r="X268" s="109">
        <f t="shared" si="48"/>
        <v>0</v>
      </c>
    </row>
    <row r="269" spans="1:24">
      <c r="A269" s="22">
        <v>2394</v>
      </c>
      <c r="B269" s="23" t="s">
        <v>249</v>
      </c>
      <c r="C269" s="37">
        <f t="shared" si="43"/>
        <v>-106715</v>
      </c>
      <c r="D269" s="37">
        <f t="shared" si="44"/>
        <v>-68208</v>
      </c>
      <c r="E269" s="37">
        <f t="shared" si="45"/>
        <v>-18736</v>
      </c>
      <c r="F269" s="37">
        <f t="shared" si="46"/>
        <v>20569</v>
      </c>
      <c r="G269" s="37">
        <f t="shared" si="47"/>
        <v>5286</v>
      </c>
      <c r="I269" s="41"/>
      <c r="K269" s="40">
        <f>ROUND(VLOOKUP($A269,'Contribution Allocation_Report'!$A$9:$D$314,4,FALSE)*$K$321,0)</f>
        <v>-151109</v>
      </c>
      <c r="L269" s="40">
        <f>ROUND(VLOOKUP($A269,'Contribution Allocation_Report'!$A$9:$D$314,4,FALSE)*$L$321,0)</f>
        <v>-101878</v>
      </c>
      <c r="M269" s="40">
        <f>ROUND(VLOOKUP($A269,'Contribution Allocation_Report'!$A$9:$D$314,4,FALSE)*$M$321,0)</f>
        <v>-32678</v>
      </c>
      <c r="N269" s="40">
        <f>ROUND(VLOOKUP($A269,'Contribution Allocation_Report'!$A$9:$D$314,4,FALSE)*$N$321,0)</f>
        <v>1345</v>
      </c>
      <c r="O269" s="40">
        <f>ROUND(VLOOKUP($A269,'Contribution Allocation_Report'!$A$9:$D$314,4,FALSE)*$O$321,0)</f>
        <v>-3631</v>
      </c>
      <c r="Q269" s="40">
        <f>+VLOOKUP(A269,'Change in Proportion Layers'!$AK$8:$AP$318,2,FALSE)+K269</f>
        <v>-106715</v>
      </c>
      <c r="R269" s="40">
        <f>+VLOOKUP(A269,'Change in Proportion Layers'!$AK$8:$AP$318,3,FALSE)+L269</f>
        <v>-68208</v>
      </c>
      <c r="S269" s="40">
        <f>+VLOOKUP(A269,'Change in Proportion Layers'!$AK$8:$AP$318,4,FALSE)+M269</f>
        <v>-18736</v>
      </c>
      <c r="T269" s="40">
        <f>+VLOOKUP(A269,'Change in Proportion Layers'!$AK$8:$AP$318,5,FALSE)+N269</f>
        <v>20569</v>
      </c>
      <c r="U269" s="40">
        <f>+VLOOKUP(A269,'Change in Proportion Layers'!$AK$8:$AP$318,6,FALSE)+O269+1</f>
        <v>5286</v>
      </c>
      <c r="W269" s="40">
        <f>('OPEB Amounts_Report'!G269-'OPEB Amounts_Report'!M269)</f>
        <v>-167804</v>
      </c>
      <c r="X269" s="109">
        <f t="shared" si="48"/>
        <v>0</v>
      </c>
    </row>
    <row r="270" spans="1:24">
      <c r="A270" s="24">
        <v>5015</v>
      </c>
      <c r="B270" s="3" t="s">
        <v>250</v>
      </c>
      <c r="C270" s="38">
        <f t="shared" si="43"/>
        <v>-341236</v>
      </c>
      <c r="D270" s="38">
        <f t="shared" si="44"/>
        <v>-261828</v>
      </c>
      <c r="E270" s="38">
        <f t="shared" si="45"/>
        <v>-106667</v>
      </c>
      <c r="F270" s="38">
        <f t="shared" si="46"/>
        <v>-13813</v>
      </c>
      <c r="G270" s="38">
        <f t="shared" si="47"/>
        <v>-11589</v>
      </c>
      <c r="I270" s="41"/>
      <c r="K270" s="40">
        <f>ROUND(VLOOKUP($A270,'Contribution Allocation_Report'!$A$9:$D$314,4,FALSE)*$K$321,0)</f>
        <v>-306698</v>
      </c>
      <c r="L270" s="40">
        <f>ROUND(VLOOKUP($A270,'Contribution Allocation_Report'!$A$9:$D$314,4,FALSE)*$L$321,0)</f>
        <v>-206778</v>
      </c>
      <c r="M270" s="40">
        <f>ROUND(VLOOKUP($A270,'Contribution Allocation_Report'!$A$9:$D$314,4,FALSE)*$M$321,0)</f>
        <v>-66324</v>
      </c>
      <c r="N270" s="40">
        <f>ROUND(VLOOKUP($A270,'Contribution Allocation_Report'!$A$9:$D$314,4,FALSE)*$N$321,0)</f>
        <v>2730</v>
      </c>
      <c r="O270" s="40">
        <f>ROUND(VLOOKUP($A270,'Contribution Allocation_Report'!$A$9:$D$314,4,FALSE)*$O$321,0)</f>
        <v>-7369</v>
      </c>
      <c r="Q270" s="40">
        <f>+VLOOKUP(A270,'Change in Proportion Layers'!$AK$8:$AP$318,2,FALSE)+K270</f>
        <v>-341236</v>
      </c>
      <c r="R270" s="40">
        <f>+VLOOKUP(A270,'Change in Proportion Layers'!$AK$8:$AP$318,3,FALSE)+L270</f>
        <v>-261828</v>
      </c>
      <c r="S270" s="40">
        <f>+VLOOKUP(A270,'Change in Proportion Layers'!$AK$8:$AP$318,4,FALSE)+M270</f>
        <v>-106667</v>
      </c>
      <c r="T270" s="40">
        <f>+VLOOKUP(A270,'Change in Proportion Layers'!$AK$8:$AP$318,5,FALSE)+N270</f>
        <v>-13813</v>
      </c>
      <c r="U270" s="40">
        <f>+VLOOKUP(A270,'Change in Proportion Layers'!$AK$8:$AP$318,6,FALSE)+O270+1</f>
        <v>-11589</v>
      </c>
      <c r="W270" s="40">
        <f>('OPEB Amounts_Report'!G270-'OPEB Amounts_Report'!M270)</f>
        <v>-735133</v>
      </c>
      <c r="X270" s="109">
        <f t="shared" si="48"/>
        <v>0</v>
      </c>
    </row>
    <row r="271" spans="1:24">
      <c r="A271" s="22">
        <v>29408</v>
      </c>
      <c r="B271" s="23" t="s">
        <v>251</v>
      </c>
      <c r="C271" s="37">
        <f t="shared" si="43"/>
        <v>-191082</v>
      </c>
      <c r="D271" s="37">
        <f t="shared" si="44"/>
        <v>-151847</v>
      </c>
      <c r="E271" s="37">
        <f t="shared" si="45"/>
        <v>-28748</v>
      </c>
      <c r="F271" s="37">
        <f t="shared" si="46"/>
        <v>11631</v>
      </c>
      <c r="G271" s="37">
        <f t="shared" si="47"/>
        <v>-3136</v>
      </c>
      <c r="I271" s="41"/>
      <c r="K271" s="40">
        <f>ROUND(VLOOKUP($A271,'Contribution Allocation_Report'!$A$9:$D$314,4,FALSE)*$K$321,0)</f>
        <v>-234641</v>
      </c>
      <c r="L271" s="40">
        <f>ROUND(VLOOKUP($A271,'Contribution Allocation_Report'!$A$9:$D$314,4,FALSE)*$L$321,0)</f>
        <v>-158196</v>
      </c>
      <c r="M271" s="40">
        <f>ROUND(VLOOKUP($A271,'Contribution Allocation_Report'!$A$9:$D$314,4,FALSE)*$M$321,0)</f>
        <v>-50742</v>
      </c>
      <c r="N271" s="40">
        <f>ROUND(VLOOKUP($A271,'Contribution Allocation_Report'!$A$9:$D$314,4,FALSE)*$N$321,0)</f>
        <v>2089</v>
      </c>
      <c r="O271" s="40">
        <f>ROUND(VLOOKUP($A271,'Contribution Allocation_Report'!$A$9:$D$314,4,FALSE)*$O$321,0)</f>
        <v>-5638</v>
      </c>
      <c r="Q271" s="40">
        <f>+VLOOKUP(A271,'Change in Proportion Layers'!$AK$8:$AP$318,2,FALSE)+K271</f>
        <v>-191082</v>
      </c>
      <c r="R271" s="40">
        <f>+VLOOKUP(A271,'Change in Proportion Layers'!$AK$8:$AP$318,3,FALSE)+L271</f>
        <v>-151847</v>
      </c>
      <c r="S271" s="40">
        <f>+VLOOKUP(A271,'Change in Proportion Layers'!$AK$8:$AP$318,4,FALSE)+M271</f>
        <v>-28748</v>
      </c>
      <c r="T271" s="40">
        <f>+VLOOKUP(A271,'Change in Proportion Layers'!$AK$8:$AP$318,5,FALSE)+N271</f>
        <v>11631</v>
      </c>
      <c r="U271" s="40">
        <f>+VLOOKUP(A271,'Change in Proportion Layers'!$AK$8:$AP$318,6,FALSE)+O271+1</f>
        <v>-3136</v>
      </c>
      <c r="W271" s="40">
        <f>('OPEB Amounts_Report'!G271-'OPEB Amounts_Report'!M271)</f>
        <v>-363182</v>
      </c>
      <c r="X271" s="109">
        <f t="shared" si="48"/>
        <v>0</v>
      </c>
    </row>
    <row r="272" spans="1:24">
      <c r="A272" s="24">
        <v>2413</v>
      </c>
      <c r="B272" s="3" t="s">
        <v>252</v>
      </c>
      <c r="C272" s="38">
        <f t="shared" si="43"/>
        <v>-94025</v>
      </c>
      <c r="D272" s="38">
        <f t="shared" si="44"/>
        <v>-57051</v>
      </c>
      <c r="E272" s="38">
        <f t="shared" si="45"/>
        <v>-26560</v>
      </c>
      <c r="F272" s="38">
        <f t="shared" si="46"/>
        <v>-34312</v>
      </c>
      <c r="G272" s="38">
        <f t="shared" si="47"/>
        <v>-10233</v>
      </c>
      <c r="I272" s="41"/>
      <c r="K272" s="40">
        <f>ROUND(VLOOKUP($A272,'Contribution Allocation_Report'!$A$9:$D$314,4,FALSE)*$K$321,0)</f>
        <v>-30543</v>
      </c>
      <c r="L272" s="40">
        <f>ROUND(VLOOKUP($A272,'Contribution Allocation_Report'!$A$9:$D$314,4,FALSE)*$L$321,0)</f>
        <v>-20592</v>
      </c>
      <c r="M272" s="40">
        <f>ROUND(VLOOKUP($A272,'Contribution Allocation_Report'!$A$9:$D$314,4,FALSE)*$M$321,0)</f>
        <v>-6605</v>
      </c>
      <c r="N272" s="40">
        <f>ROUND(VLOOKUP($A272,'Contribution Allocation_Report'!$A$9:$D$314,4,FALSE)*$N$321,0)</f>
        <v>272</v>
      </c>
      <c r="O272" s="40">
        <f>ROUND(VLOOKUP($A272,'Contribution Allocation_Report'!$A$9:$D$314,4,FALSE)*$O$321,0)</f>
        <v>-734</v>
      </c>
      <c r="Q272" s="40">
        <f>+VLOOKUP(A272,'Change in Proportion Layers'!$AK$8:$AP$318,2,FALSE)+K272</f>
        <v>-94025</v>
      </c>
      <c r="R272" s="40">
        <f>+VLOOKUP(A272,'Change in Proportion Layers'!$AK$8:$AP$318,3,FALSE)+L272</f>
        <v>-57051</v>
      </c>
      <c r="S272" s="40">
        <f>+VLOOKUP(A272,'Change in Proportion Layers'!$AK$8:$AP$318,4,FALSE)+M272</f>
        <v>-26560</v>
      </c>
      <c r="T272" s="40">
        <f>+VLOOKUP(A272,'Change in Proportion Layers'!$AK$8:$AP$318,5,FALSE)+N272</f>
        <v>-34312</v>
      </c>
      <c r="U272" s="40">
        <f>+VLOOKUP(A272,'Change in Proportion Layers'!$AK$8:$AP$318,6,FALSE)+O272</f>
        <v>-10233</v>
      </c>
      <c r="W272" s="40">
        <f>('OPEB Amounts_Report'!G272-'OPEB Amounts_Report'!M272)</f>
        <v>-222181</v>
      </c>
      <c r="X272" s="109">
        <f t="shared" si="48"/>
        <v>0</v>
      </c>
    </row>
    <row r="273" spans="1:24">
      <c r="A273" s="22">
        <v>1398</v>
      </c>
      <c r="B273" s="23" t="s">
        <v>253</v>
      </c>
      <c r="C273" s="37">
        <f t="shared" ref="C273:C302" si="71">+Q273</f>
        <v>-99843</v>
      </c>
      <c r="D273" s="37">
        <f t="shared" ref="D273:D302" si="72">+R273</f>
        <v>-37036</v>
      </c>
      <c r="E273" s="37">
        <f t="shared" ref="E273:E302" si="73">+S273</f>
        <v>61033</v>
      </c>
      <c r="F273" s="37">
        <f t="shared" ref="F273:F302" si="74">+T273</f>
        <v>59710</v>
      </c>
      <c r="G273" s="37">
        <f t="shared" ref="G273:G302" si="75">+U273</f>
        <v>15801</v>
      </c>
      <c r="I273" s="41"/>
      <c r="K273" s="40">
        <f>ROUND(VLOOKUP($A273,'Contribution Allocation_Report'!$A$9:$D$314,4,FALSE)*$K$321,0)</f>
        <v>-161987</v>
      </c>
      <c r="L273" s="40">
        <f>ROUND(VLOOKUP($A273,'Contribution Allocation_Report'!$A$9:$D$314,4,FALSE)*$L$321,0)</f>
        <v>-109213</v>
      </c>
      <c r="M273" s="40">
        <f>ROUND(VLOOKUP($A273,'Contribution Allocation_Report'!$A$9:$D$314,4,FALSE)*$M$321,0)</f>
        <v>-35030</v>
      </c>
      <c r="N273" s="40">
        <f>ROUND(VLOOKUP($A273,'Contribution Allocation_Report'!$A$9:$D$314,4,FALSE)*$N$321,0)</f>
        <v>1442</v>
      </c>
      <c r="O273" s="40">
        <f>ROUND(VLOOKUP($A273,'Contribution Allocation_Report'!$A$9:$D$314,4,FALSE)*$O$321,0)</f>
        <v>-3892</v>
      </c>
      <c r="Q273" s="40">
        <f>+VLOOKUP(A273,'Change in Proportion Layers'!$AK$8:$AP$318,2,FALSE)+K273</f>
        <v>-99843</v>
      </c>
      <c r="R273" s="40">
        <f>+VLOOKUP(A273,'Change in Proportion Layers'!$AK$8:$AP$318,3,FALSE)+L273</f>
        <v>-37036</v>
      </c>
      <c r="S273" s="40">
        <f>+VLOOKUP(A273,'Change in Proportion Layers'!$AK$8:$AP$318,4,FALSE)+M273</f>
        <v>61033</v>
      </c>
      <c r="T273" s="40">
        <f>+VLOOKUP(A273,'Change in Proportion Layers'!$AK$8:$AP$318,5,FALSE)+N273</f>
        <v>59710</v>
      </c>
      <c r="U273" s="40">
        <f>+VLOOKUP(A273,'Change in Proportion Layers'!$AK$8:$AP$318,6,FALSE)+O273</f>
        <v>15801</v>
      </c>
      <c r="W273" s="40">
        <f>('OPEB Amounts_Report'!G273-'OPEB Amounts_Report'!M273)</f>
        <v>-335</v>
      </c>
      <c r="X273" s="109">
        <f t="shared" si="48"/>
        <v>0</v>
      </c>
    </row>
    <row r="274" spans="1:24">
      <c r="A274" s="24">
        <v>2366</v>
      </c>
      <c r="B274" s="3" t="s">
        <v>254</v>
      </c>
      <c r="C274" s="38">
        <f t="shared" si="71"/>
        <v>-124612</v>
      </c>
      <c r="D274" s="38">
        <f t="shared" si="72"/>
        <v>-104602</v>
      </c>
      <c r="E274" s="38">
        <f t="shared" si="73"/>
        <v>-44767</v>
      </c>
      <c r="F274" s="38">
        <f t="shared" si="74"/>
        <v>-26728</v>
      </c>
      <c r="G274" s="38">
        <f t="shared" si="75"/>
        <v>-15562</v>
      </c>
      <c r="I274" s="41"/>
      <c r="K274" s="40">
        <f>ROUND(VLOOKUP($A274,'Contribution Allocation_Report'!$A$9:$D$314,4,FALSE)*$K$321,0)</f>
        <v>-71130</v>
      </c>
      <c r="L274" s="40">
        <f>ROUND(VLOOKUP($A274,'Contribution Allocation_Report'!$A$9:$D$314,4,FALSE)*$L$321,0)</f>
        <v>-47956</v>
      </c>
      <c r="M274" s="40">
        <f>ROUND(VLOOKUP($A274,'Contribution Allocation_Report'!$A$9:$D$314,4,FALSE)*$M$321,0)</f>
        <v>-15382</v>
      </c>
      <c r="N274" s="40">
        <f>ROUND(VLOOKUP($A274,'Contribution Allocation_Report'!$A$9:$D$314,4,FALSE)*$N$321,0)</f>
        <v>633</v>
      </c>
      <c r="O274" s="40">
        <f>ROUND(VLOOKUP($A274,'Contribution Allocation_Report'!$A$9:$D$314,4,FALSE)*$O$321,0)</f>
        <v>-1709</v>
      </c>
      <c r="Q274" s="40">
        <f>+VLOOKUP(A274,'Change in Proportion Layers'!$AK$8:$AP$318,2,FALSE)+K274</f>
        <v>-124612</v>
      </c>
      <c r="R274" s="40">
        <f>+VLOOKUP(A274,'Change in Proportion Layers'!$AK$8:$AP$318,3,FALSE)+L274</f>
        <v>-104602</v>
      </c>
      <c r="S274" s="40">
        <f>+VLOOKUP(A274,'Change in Proportion Layers'!$AK$8:$AP$318,4,FALSE)+M274</f>
        <v>-44767</v>
      </c>
      <c r="T274" s="40">
        <f>+VLOOKUP(A274,'Change in Proportion Layers'!$AK$8:$AP$318,5,FALSE)+N274</f>
        <v>-26728</v>
      </c>
      <c r="U274" s="40">
        <f>+VLOOKUP(A274,'Change in Proportion Layers'!$AK$8:$AP$318,6,FALSE)+O274+1</f>
        <v>-15562</v>
      </c>
      <c r="W274" s="40">
        <f>('OPEB Amounts_Report'!G274-'OPEB Amounts_Report'!M274)</f>
        <v>-316271</v>
      </c>
      <c r="X274" s="109">
        <f t="shared" si="48"/>
        <v>0</v>
      </c>
    </row>
    <row r="275" spans="1:24">
      <c r="A275" s="22">
        <v>7421</v>
      </c>
      <c r="B275" s="23" t="s">
        <v>255</v>
      </c>
      <c r="C275" s="37">
        <f t="shared" si="71"/>
        <v>-84169</v>
      </c>
      <c r="D275" s="37">
        <f t="shared" si="72"/>
        <v>-61052</v>
      </c>
      <c r="E275" s="37">
        <f t="shared" si="73"/>
        <v>-33204</v>
      </c>
      <c r="F275" s="37">
        <f t="shared" si="74"/>
        <v>11440</v>
      </c>
      <c r="G275" s="37">
        <f t="shared" si="75"/>
        <v>5310</v>
      </c>
      <c r="I275" s="41"/>
      <c r="K275" s="40">
        <f>ROUND(VLOOKUP($A275,'Contribution Allocation_Report'!$A$9:$D$314,4,FALSE)*$K$321,0)</f>
        <v>-86608</v>
      </c>
      <c r="L275" s="40">
        <f>ROUND(VLOOKUP($A275,'Contribution Allocation_Report'!$A$9:$D$314,4,FALSE)*$L$321,0)</f>
        <v>-58392</v>
      </c>
      <c r="M275" s="40">
        <f>ROUND(VLOOKUP($A275,'Contribution Allocation_Report'!$A$9:$D$314,4,FALSE)*$M$321,0)</f>
        <v>-18729</v>
      </c>
      <c r="N275" s="40">
        <f>ROUND(VLOOKUP($A275,'Contribution Allocation_Report'!$A$9:$D$314,4,FALSE)*$N$321,0)</f>
        <v>771</v>
      </c>
      <c r="O275" s="40">
        <f>ROUND(VLOOKUP($A275,'Contribution Allocation_Report'!$A$9:$D$314,4,FALSE)*$O$321,0)</f>
        <v>-2081</v>
      </c>
      <c r="Q275" s="40">
        <f>+VLOOKUP(A275,'Change in Proportion Layers'!$AK$8:$AP$318,2,FALSE)+K275</f>
        <v>-84169</v>
      </c>
      <c r="R275" s="40">
        <f>+VLOOKUP(A275,'Change in Proportion Layers'!$AK$8:$AP$318,3,FALSE)+L275</f>
        <v>-61052</v>
      </c>
      <c r="S275" s="40">
        <f>+VLOOKUP(A275,'Change in Proportion Layers'!$AK$8:$AP$318,4,FALSE)+M275</f>
        <v>-33204</v>
      </c>
      <c r="T275" s="40">
        <f>+VLOOKUP(A275,'Change in Proportion Layers'!$AK$8:$AP$318,5,FALSE)+N275</f>
        <v>11440</v>
      </c>
      <c r="U275" s="40">
        <f>+VLOOKUP(A275,'Change in Proportion Layers'!$AK$8:$AP$318,6,FALSE)+O275</f>
        <v>5310</v>
      </c>
      <c r="W275" s="40">
        <f>('OPEB Amounts_Report'!G275-'OPEB Amounts_Report'!M275)</f>
        <v>-161675</v>
      </c>
      <c r="X275" s="109">
        <f t="shared" si="48"/>
        <v>0</v>
      </c>
    </row>
    <row r="276" spans="1:24">
      <c r="A276" s="24">
        <v>1425</v>
      </c>
      <c r="B276" s="3" t="s">
        <v>431</v>
      </c>
      <c r="C276" s="38">
        <f t="shared" ref="C276" si="76">+Q276</f>
        <v>66086</v>
      </c>
      <c r="D276" s="38">
        <f t="shared" ref="D276" si="77">+R276</f>
        <v>114518</v>
      </c>
      <c r="E276" s="38">
        <f t="shared" ref="E276" si="78">+S276</f>
        <v>162906</v>
      </c>
      <c r="F276" s="38">
        <f t="shared" ref="F276" si="79">+T276</f>
        <v>103291</v>
      </c>
      <c r="G276" s="38">
        <f t="shared" ref="G276" si="80">+U276</f>
        <v>15089</v>
      </c>
      <c r="I276" s="41"/>
      <c r="K276" s="40">
        <f>ROUND(VLOOKUP($A276,'Contribution Allocation_Report'!$A$9:$D$314,4,FALSE)*$K$321,0)</f>
        <v>-151676</v>
      </c>
      <c r="L276" s="40">
        <f>ROUND(VLOOKUP($A276,'Contribution Allocation_Report'!$A$9:$D$314,4,FALSE)*$L$321,0)</f>
        <v>-102261</v>
      </c>
      <c r="M276" s="40">
        <f>ROUND(VLOOKUP($A276,'Contribution Allocation_Report'!$A$9:$D$314,4,FALSE)*$M$321,0)</f>
        <v>-32800</v>
      </c>
      <c r="N276" s="40">
        <f>ROUND(VLOOKUP($A276,'Contribution Allocation_Report'!$A$9:$D$314,4,FALSE)*$N$321,0)</f>
        <v>1350</v>
      </c>
      <c r="O276" s="40">
        <f>ROUND(VLOOKUP($A276,'Contribution Allocation_Report'!$A$9:$D$314,4,FALSE)*$O$321,0)</f>
        <v>-3644</v>
      </c>
      <c r="Q276" s="40">
        <f>+VLOOKUP(A276,'Change in Proportion Layers'!$AK$8:$AP$318,2,FALSE)+K276</f>
        <v>66086</v>
      </c>
      <c r="R276" s="40">
        <f>+VLOOKUP(A276,'Change in Proportion Layers'!$AK$8:$AP$318,3,FALSE)+L276</f>
        <v>114518</v>
      </c>
      <c r="S276" s="40">
        <f>+VLOOKUP(A276,'Change in Proportion Layers'!$AK$8:$AP$318,4,FALSE)+M276</f>
        <v>162906</v>
      </c>
      <c r="T276" s="40">
        <f>+VLOOKUP(A276,'Change in Proportion Layers'!$AK$8:$AP$318,5,FALSE)+N276</f>
        <v>103291</v>
      </c>
      <c r="U276" s="40">
        <f>+VLOOKUP(A276,'Change in Proportion Layers'!$AK$8:$AP$318,6,FALSE)+O276</f>
        <v>15089</v>
      </c>
      <c r="W276" s="40">
        <f>('OPEB Amounts_Report'!G276-'OPEB Amounts_Report'!M276)</f>
        <v>461890</v>
      </c>
      <c r="X276" s="109">
        <f t="shared" si="48"/>
        <v>0</v>
      </c>
    </row>
    <row r="277" spans="1:24">
      <c r="A277" s="22">
        <v>2370</v>
      </c>
      <c r="B277" s="23" t="s">
        <v>256</v>
      </c>
      <c r="C277" s="37">
        <f t="shared" si="71"/>
        <v>-176258</v>
      </c>
      <c r="D277" s="37">
        <f t="shared" si="72"/>
        <v>-148604</v>
      </c>
      <c r="E277" s="37">
        <f t="shared" si="73"/>
        <v>-61863</v>
      </c>
      <c r="F277" s="37">
        <f t="shared" si="74"/>
        <v>-17329</v>
      </c>
      <c r="G277" s="37">
        <f t="shared" si="75"/>
        <v>-7040</v>
      </c>
      <c r="I277" s="41"/>
      <c r="K277" s="40">
        <f>ROUND(VLOOKUP($A277,'Contribution Allocation_Report'!$A$9:$D$314,4,FALSE)*$K$321,0)</f>
        <v>-117148</v>
      </c>
      <c r="L277" s="40">
        <f>ROUND(VLOOKUP($A277,'Contribution Allocation_Report'!$A$9:$D$314,4,FALSE)*$L$321,0)</f>
        <v>-78982</v>
      </c>
      <c r="M277" s="40">
        <f>ROUND(VLOOKUP($A277,'Contribution Allocation_Report'!$A$9:$D$314,4,FALSE)*$M$321,0)</f>
        <v>-25333</v>
      </c>
      <c r="N277" s="40">
        <f>ROUND(VLOOKUP($A277,'Contribution Allocation_Report'!$A$9:$D$314,4,FALSE)*$N$321,0)</f>
        <v>1043</v>
      </c>
      <c r="O277" s="40">
        <f>ROUND(VLOOKUP($A277,'Contribution Allocation_Report'!$A$9:$D$314,4,FALSE)*$O$321,0)</f>
        <v>-2815</v>
      </c>
      <c r="Q277" s="40">
        <f>+VLOOKUP(A277,'Change in Proportion Layers'!$AK$8:$AP$318,2,FALSE)+K277</f>
        <v>-176258</v>
      </c>
      <c r="R277" s="40">
        <f>+VLOOKUP(A277,'Change in Proportion Layers'!$AK$8:$AP$318,3,FALSE)+L277</f>
        <v>-148604</v>
      </c>
      <c r="S277" s="40">
        <f>+VLOOKUP(A277,'Change in Proportion Layers'!$AK$8:$AP$318,4,FALSE)+M277</f>
        <v>-61863</v>
      </c>
      <c r="T277" s="40">
        <f>+VLOOKUP(A277,'Change in Proportion Layers'!$AK$8:$AP$318,5,FALSE)+N277</f>
        <v>-17329</v>
      </c>
      <c r="U277" s="40">
        <f>+VLOOKUP(A277,'Change in Proportion Layers'!$AK$8:$AP$318,6,FALSE)+O277</f>
        <v>-7040</v>
      </c>
      <c r="W277" s="40">
        <f>('OPEB Amounts_Report'!G277-'OPEB Amounts_Report'!M277)</f>
        <v>-411094</v>
      </c>
      <c r="X277" s="109">
        <f t="shared" si="48"/>
        <v>0</v>
      </c>
    </row>
    <row r="278" spans="1:24">
      <c r="A278" s="24">
        <v>1343</v>
      </c>
      <c r="B278" s="3" t="s">
        <v>257</v>
      </c>
      <c r="C278" s="38">
        <f t="shared" si="71"/>
        <v>-159842</v>
      </c>
      <c r="D278" s="38">
        <f t="shared" si="72"/>
        <v>-122446</v>
      </c>
      <c r="E278" s="38">
        <f t="shared" si="73"/>
        <v>-66005</v>
      </c>
      <c r="F278" s="38">
        <f t="shared" si="74"/>
        <v>-41694</v>
      </c>
      <c r="G278" s="38">
        <f t="shared" si="75"/>
        <v>-20823</v>
      </c>
      <c r="I278" s="41"/>
      <c r="K278" s="40">
        <f>ROUND(VLOOKUP($A278,'Contribution Allocation_Report'!$A$9:$D$314,4,FALSE)*$K$321,0)</f>
        <v>-141575</v>
      </c>
      <c r="L278" s="40">
        <f>ROUND(VLOOKUP($A278,'Contribution Allocation_Report'!$A$9:$D$314,4,FALSE)*$L$321,0)</f>
        <v>-95451</v>
      </c>
      <c r="M278" s="40">
        <f>ROUND(VLOOKUP($A278,'Contribution Allocation_Report'!$A$9:$D$314,4,FALSE)*$M$321,0)</f>
        <v>-30616</v>
      </c>
      <c r="N278" s="40">
        <f>ROUND(VLOOKUP($A278,'Contribution Allocation_Report'!$A$9:$D$314,4,FALSE)*$N$321,0)</f>
        <v>1260</v>
      </c>
      <c r="O278" s="40">
        <f>ROUND(VLOOKUP($A278,'Contribution Allocation_Report'!$A$9:$D$314,4,FALSE)*$O$321,0)</f>
        <v>-3402</v>
      </c>
      <c r="Q278" s="40">
        <f>+VLOOKUP(A278,'Change in Proportion Layers'!$AK$8:$AP$318,2,FALSE)+K278</f>
        <v>-159842</v>
      </c>
      <c r="R278" s="40">
        <f>+VLOOKUP(A278,'Change in Proportion Layers'!$AK$8:$AP$318,3,FALSE)+L278</f>
        <v>-122446</v>
      </c>
      <c r="S278" s="40">
        <f>+VLOOKUP(A278,'Change in Proportion Layers'!$AK$8:$AP$318,4,FALSE)+M278</f>
        <v>-66005</v>
      </c>
      <c r="T278" s="40">
        <f>+VLOOKUP(A278,'Change in Proportion Layers'!$AK$8:$AP$318,5,FALSE)+N278</f>
        <v>-41694</v>
      </c>
      <c r="U278" s="40">
        <f>+VLOOKUP(A278,'Change in Proportion Layers'!$AK$8:$AP$318,6,FALSE)+O278+2</f>
        <v>-20823</v>
      </c>
      <c r="W278" s="40">
        <f>('OPEB Amounts_Report'!G278-'OPEB Amounts_Report'!M278)</f>
        <v>-410810</v>
      </c>
      <c r="X278" s="109">
        <f t="shared" ref="X278:X319" si="81">SUM(Q278:U278)-W278</f>
        <v>0</v>
      </c>
    </row>
    <row r="279" spans="1:24">
      <c r="A279" s="22">
        <v>2790</v>
      </c>
      <c r="B279" s="23" t="s">
        <v>258</v>
      </c>
      <c r="C279" s="37">
        <f t="shared" si="71"/>
        <v>-11889</v>
      </c>
      <c r="D279" s="37">
        <f t="shared" si="72"/>
        <v>-14989</v>
      </c>
      <c r="E279" s="37">
        <f t="shared" si="73"/>
        <v>-7330</v>
      </c>
      <c r="F279" s="37">
        <f t="shared" si="74"/>
        <v>-1625</v>
      </c>
      <c r="G279" s="37">
        <f t="shared" si="75"/>
        <v>-657</v>
      </c>
      <c r="I279" s="41"/>
      <c r="K279" s="40">
        <f>ROUND(VLOOKUP($A279,'Contribution Allocation_Report'!$A$9:$D$314,4,FALSE)*$K$321,0)</f>
        <v>-15196</v>
      </c>
      <c r="L279" s="40">
        <f>ROUND(VLOOKUP($A279,'Contribution Allocation_Report'!$A$9:$D$314,4,FALSE)*$L$321,0)</f>
        <v>-10246</v>
      </c>
      <c r="M279" s="40">
        <f>ROUND(VLOOKUP($A279,'Contribution Allocation_Report'!$A$9:$D$314,4,FALSE)*$M$321,0)</f>
        <v>-3286</v>
      </c>
      <c r="N279" s="40">
        <f>ROUND(VLOOKUP($A279,'Contribution Allocation_Report'!$A$9:$D$314,4,FALSE)*$N$321,0)</f>
        <v>135</v>
      </c>
      <c r="O279" s="40">
        <f>ROUND(VLOOKUP($A279,'Contribution Allocation_Report'!$A$9:$D$314,4,FALSE)*$O$321,0)</f>
        <v>-365</v>
      </c>
      <c r="Q279" s="40">
        <f>+VLOOKUP(A279,'Change in Proportion Layers'!$AK$8:$AP$318,2,FALSE)+K279</f>
        <v>-11889</v>
      </c>
      <c r="R279" s="40">
        <f>+VLOOKUP(A279,'Change in Proportion Layers'!$AK$8:$AP$318,3,FALSE)+L279</f>
        <v>-14989</v>
      </c>
      <c r="S279" s="40">
        <f>+VLOOKUP(A279,'Change in Proportion Layers'!$AK$8:$AP$318,4,FALSE)+M279</f>
        <v>-7330</v>
      </c>
      <c r="T279" s="40">
        <f>+VLOOKUP(A279,'Change in Proportion Layers'!$AK$8:$AP$318,5,FALSE)+N279</f>
        <v>-1625</v>
      </c>
      <c r="U279" s="40">
        <f>+VLOOKUP(A279,'Change in Proportion Layers'!$AK$8:$AP$318,6,FALSE)+O279+1</f>
        <v>-657</v>
      </c>
      <c r="W279" s="40">
        <f>('OPEB Amounts_Report'!G279-'OPEB Amounts_Report'!M279)</f>
        <v>-36490</v>
      </c>
      <c r="X279" s="109">
        <f t="shared" si="81"/>
        <v>0</v>
      </c>
    </row>
    <row r="280" spans="1:24">
      <c r="A280" s="24">
        <v>3330</v>
      </c>
      <c r="B280" s="3" t="s">
        <v>259</v>
      </c>
      <c r="C280" s="38">
        <f t="shared" si="71"/>
        <v>-338919</v>
      </c>
      <c r="D280" s="38">
        <f t="shared" si="72"/>
        <v>-277495</v>
      </c>
      <c r="E280" s="38">
        <f t="shared" si="73"/>
        <v>-131828</v>
      </c>
      <c r="F280" s="38">
        <f t="shared" si="74"/>
        <v>-17083</v>
      </c>
      <c r="G280" s="38">
        <f t="shared" si="75"/>
        <v>-23551</v>
      </c>
      <c r="I280" s="41"/>
      <c r="K280" s="40">
        <f>ROUND(VLOOKUP($A280,'Contribution Allocation_Report'!$A$9:$D$314,4,FALSE)*$K$321,0)</f>
        <v>-330057</v>
      </c>
      <c r="L280" s="40">
        <f>ROUND(VLOOKUP($A280,'Contribution Allocation_Report'!$A$9:$D$314,4,FALSE)*$L$321,0)</f>
        <v>-222526</v>
      </c>
      <c r="M280" s="40">
        <f>ROUND(VLOOKUP($A280,'Contribution Allocation_Report'!$A$9:$D$314,4,FALSE)*$M$321,0)</f>
        <v>-71375</v>
      </c>
      <c r="N280" s="40">
        <f>ROUND(VLOOKUP($A280,'Contribution Allocation_Report'!$A$9:$D$314,4,FALSE)*$N$321,0)</f>
        <v>2938</v>
      </c>
      <c r="O280" s="40">
        <f>ROUND(VLOOKUP($A280,'Contribution Allocation_Report'!$A$9:$D$314,4,FALSE)*$O$321,0)</f>
        <v>-7930</v>
      </c>
      <c r="Q280" s="40">
        <f>+VLOOKUP(A280,'Change in Proportion Layers'!$AK$8:$AP$318,2,FALSE)+K280</f>
        <v>-338919</v>
      </c>
      <c r="R280" s="40">
        <f>+VLOOKUP(A280,'Change in Proportion Layers'!$AK$8:$AP$318,3,FALSE)+L280</f>
        <v>-277495</v>
      </c>
      <c r="S280" s="40">
        <f>+VLOOKUP(A280,'Change in Proportion Layers'!$AK$8:$AP$318,4,FALSE)+M280</f>
        <v>-131828</v>
      </c>
      <c r="T280" s="40">
        <f>+VLOOKUP(A280,'Change in Proportion Layers'!$AK$8:$AP$318,5,FALSE)+N280</f>
        <v>-17083</v>
      </c>
      <c r="U280" s="40">
        <f>+VLOOKUP(A280,'Change in Proportion Layers'!$AK$8:$AP$318,6,FALSE)+O280-1</f>
        <v>-23551</v>
      </c>
      <c r="W280" s="40">
        <f>('OPEB Amounts_Report'!G280-'OPEB Amounts_Report'!M280)</f>
        <v>-788876</v>
      </c>
      <c r="X280" s="109">
        <f t="shared" si="81"/>
        <v>0</v>
      </c>
    </row>
    <row r="281" spans="1:24">
      <c r="A281" s="22">
        <v>2080</v>
      </c>
      <c r="B281" s="23" t="s">
        <v>260</v>
      </c>
      <c r="C281" s="37">
        <f t="shared" si="71"/>
        <v>-474868</v>
      </c>
      <c r="D281" s="37">
        <f t="shared" si="72"/>
        <v>-304914</v>
      </c>
      <c r="E281" s="37">
        <f t="shared" si="73"/>
        <v>-107089</v>
      </c>
      <c r="F281" s="37">
        <f t="shared" si="74"/>
        <v>32736</v>
      </c>
      <c r="G281" s="37">
        <f t="shared" si="75"/>
        <v>-26440</v>
      </c>
      <c r="I281" s="41"/>
      <c r="K281" s="40">
        <f>ROUND(VLOOKUP($A281,'Contribution Allocation_Report'!$A$9:$D$314,4,FALSE)*$K$321,0)</f>
        <v>-401757</v>
      </c>
      <c r="L281" s="40">
        <f>ROUND(VLOOKUP($A281,'Contribution Allocation_Report'!$A$9:$D$314,4,FALSE)*$L$321,0)</f>
        <v>-270867</v>
      </c>
      <c r="M281" s="40">
        <f>ROUND(VLOOKUP($A281,'Contribution Allocation_Report'!$A$9:$D$314,4,FALSE)*$M$321,0)</f>
        <v>-86881</v>
      </c>
      <c r="N281" s="40">
        <f>ROUND(VLOOKUP($A281,'Contribution Allocation_Report'!$A$9:$D$314,4,FALSE)*$N$321,0)</f>
        <v>3576</v>
      </c>
      <c r="O281" s="40">
        <f>ROUND(VLOOKUP($A281,'Contribution Allocation_Report'!$A$9:$D$314,4,FALSE)*$O$321,0)</f>
        <v>-9653</v>
      </c>
      <c r="Q281" s="40">
        <f>+VLOOKUP(A281,'Change in Proportion Layers'!$AK$8:$AP$318,2,FALSE)+K281</f>
        <v>-474868</v>
      </c>
      <c r="R281" s="40">
        <f>+VLOOKUP(A281,'Change in Proportion Layers'!$AK$8:$AP$318,3,FALSE)+L281</f>
        <v>-304914</v>
      </c>
      <c r="S281" s="40">
        <f>+VLOOKUP(A281,'Change in Proportion Layers'!$AK$8:$AP$318,4,FALSE)+M281</f>
        <v>-107089</v>
      </c>
      <c r="T281" s="40">
        <f>+VLOOKUP(A281,'Change in Proportion Layers'!$AK$8:$AP$318,5,FALSE)+N281</f>
        <v>32736</v>
      </c>
      <c r="U281" s="40">
        <f>+VLOOKUP(A281,'Change in Proportion Layers'!$AK$8:$AP$318,6,FALSE)+O281+1</f>
        <v>-26440</v>
      </c>
      <c r="W281" s="40">
        <f>('OPEB Amounts_Report'!G281-'OPEB Amounts_Report'!M281)</f>
        <v>-880575</v>
      </c>
      <c r="X281" s="109">
        <f t="shared" si="81"/>
        <v>0</v>
      </c>
    </row>
    <row r="282" spans="1:24">
      <c r="A282" s="24">
        <v>4290</v>
      </c>
      <c r="B282" s="3" t="s">
        <v>261</v>
      </c>
      <c r="C282" s="38">
        <f t="shared" si="71"/>
        <v>-106919</v>
      </c>
      <c r="D282" s="38">
        <f t="shared" si="72"/>
        <v>-27278</v>
      </c>
      <c r="E282" s="38">
        <f t="shared" si="73"/>
        <v>78337</v>
      </c>
      <c r="F282" s="38">
        <f t="shared" si="74"/>
        <v>91595</v>
      </c>
      <c r="G282" s="38">
        <f t="shared" si="75"/>
        <v>59824</v>
      </c>
      <c r="I282" s="41"/>
      <c r="K282" s="40">
        <f>ROUND(VLOOKUP($A282,'Contribution Allocation_Report'!$A$9:$D$314,4,FALSE)*$K$321,0)</f>
        <v>-245958</v>
      </c>
      <c r="L282" s="40">
        <f>ROUND(VLOOKUP($A282,'Contribution Allocation_Report'!$A$9:$D$314,4,FALSE)*$L$321,0)</f>
        <v>-165826</v>
      </c>
      <c r="M282" s="40">
        <f>ROUND(VLOOKUP($A282,'Contribution Allocation_Report'!$A$9:$D$314,4,FALSE)*$M$321,0)</f>
        <v>-53189</v>
      </c>
      <c r="N282" s="40">
        <f>ROUND(VLOOKUP($A282,'Contribution Allocation_Report'!$A$9:$D$314,4,FALSE)*$N$321,0)</f>
        <v>2190</v>
      </c>
      <c r="O282" s="40">
        <f>ROUND(VLOOKUP($A282,'Contribution Allocation_Report'!$A$9:$D$314,4,FALSE)*$O$321,0)</f>
        <v>-5910</v>
      </c>
      <c r="Q282" s="40">
        <f>+VLOOKUP(A282,'Change in Proportion Layers'!$AK$8:$AP$318,2,FALSE)+K282</f>
        <v>-106919</v>
      </c>
      <c r="R282" s="40">
        <f>+VLOOKUP(A282,'Change in Proportion Layers'!$AK$8:$AP$318,3,FALSE)+L282</f>
        <v>-27278</v>
      </c>
      <c r="S282" s="40">
        <f>+VLOOKUP(A282,'Change in Proportion Layers'!$AK$8:$AP$318,4,FALSE)+M282</f>
        <v>78337</v>
      </c>
      <c r="T282" s="40">
        <f>+VLOOKUP(A282,'Change in Proportion Layers'!$AK$8:$AP$318,5,FALSE)+N282</f>
        <v>91595</v>
      </c>
      <c r="U282" s="40">
        <f>+VLOOKUP(A282,'Change in Proportion Layers'!$AK$8:$AP$318,6,FALSE)+O282+1</f>
        <v>59824</v>
      </c>
      <c r="W282" s="40">
        <f>('OPEB Amounts_Report'!G282-'OPEB Amounts_Report'!M282)</f>
        <v>95559</v>
      </c>
      <c r="X282" s="109">
        <f t="shared" si="81"/>
        <v>0</v>
      </c>
    </row>
    <row r="283" spans="1:24">
      <c r="A283" s="22">
        <v>2270</v>
      </c>
      <c r="B283" s="23" t="s">
        <v>262</v>
      </c>
      <c r="C283" s="37">
        <f t="shared" si="71"/>
        <v>-13953</v>
      </c>
      <c r="D283" s="37">
        <f t="shared" si="72"/>
        <v>-7022</v>
      </c>
      <c r="E283" s="37">
        <f t="shared" si="73"/>
        <v>-2668</v>
      </c>
      <c r="F283" s="37">
        <f t="shared" si="74"/>
        <v>-1298</v>
      </c>
      <c r="G283" s="37">
        <f t="shared" si="75"/>
        <v>-310</v>
      </c>
      <c r="I283" s="41"/>
      <c r="K283" s="40">
        <f>ROUND(VLOOKUP($A283,'Contribution Allocation_Report'!$A$9:$D$314,4,FALSE)*$K$321,0)</f>
        <v>-5744</v>
      </c>
      <c r="L283" s="40">
        <f>ROUND(VLOOKUP($A283,'Contribution Allocation_Report'!$A$9:$D$314,4,FALSE)*$L$321,0)</f>
        <v>-3872</v>
      </c>
      <c r="M283" s="40">
        <f>ROUND(VLOOKUP($A283,'Contribution Allocation_Report'!$A$9:$D$314,4,FALSE)*$M$321,0)</f>
        <v>-1242</v>
      </c>
      <c r="N283" s="40">
        <f>ROUND(VLOOKUP($A283,'Contribution Allocation_Report'!$A$9:$D$314,4,FALSE)*$N$321,0)</f>
        <v>51</v>
      </c>
      <c r="O283" s="40">
        <f>ROUND(VLOOKUP($A283,'Contribution Allocation_Report'!$A$9:$D$314,4,FALSE)*$O$321,0)</f>
        <v>-138</v>
      </c>
      <c r="Q283" s="40">
        <f>+VLOOKUP(A283,'Change in Proportion Layers'!$AK$8:$AP$318,2,FALSE)+K283</f>
        <v>-13953</v>
      </c>
      <c r="R283" s="40">
        <f>+VLOOKUP(A283,'Change in Proportion Layers'!$AK$8:$AP$318,3,FALSE)+L283</f>
        <v>-7022</v>
      </c>
      <c r="S283" s="40">
        <f>+VLOOKUP(A283,'Change in Proportion Layers'!$AK$8:$AP$318,4,FALSE)+M283</f>
        <v>-2668</v>
      </c>
      <c r="T283" s="40">
        <f>+VLOOKUP(A283,'Change in Proportion Layers'!$AK$8:$AP$318,5,FALSE)+N283</f>
        <v>-1298</v>
      </c>
      <c r="U283" s="40">
        <f>+VLOOKUP(A283,'Change in Proportion Layers'!$AK$8:$AP$318,6,FALSE)+O283+1</f>
        <v>-310</v>
      </c>
      <c r="W283" s="40">
        <f>('OPEB Amounts_Report'!G283-'OPEB Amounts_Report'!M283)</f>
        <v>-25251</v>
      </c>
      <c r="X283" s="109">
        <f t="shared" si="81"/>
        <v>0</v>
      </c>
    </row>
    <row r="284" spans="1:24">
      <c r="A284" s="24">
        <v>2300</v>
      </c>
      <c r="B284" s="3" t="s">
        <v>263</v>
      </c>
      <c r="C284" s="38">
        <f t="shared" si="71"/>
        <v>-31814</v>
      </c>
      <c r="D284" s="38">
        <f t="shared" si="72"/>
        <v>-7832</v>
      </c>
      <c r="E284" s="38">
        <f t="shared" si="73"/>
        <v>11912</v>
      </c>
      <c r="F284" s="38">
        <f t="shared" si="74"/>
        <v>12372</v>
      </c>
      <c r="G284" s="38">
        <f t="shared" si="75"/>
        <v>-10082</v>
      </c>
      <c r="I284" s="41"/>
      <c r="K284" s="40">
        <f>ROUND(VLOOKUP($A284,'Contribution Allocation_Report'!$A$9:$D$314,4,FALSE)*$K$321,0)</f>
        <v>-56603</v>
      </c>
      <c r="L284" s="40">
        <f>ROUND(VLOOKUP($A284,'Contribution Allocation_Report'!$A$9:$D$314,4,FALSE)*$L$321,0)</f>
        <v>-38162</v>
      </c>
      <c r="M284" s="40">
        <f>ROUND(VLOOKUP($A284,'Contribution Allocation_Report'!$A$9:$D$314,4,FALSE)*$M$321,0)</f>
        <v>-12240</v>
      </c>
      <c r="N284" s="40">
        <f>ROUND(VLOOKUP($A284,'Contribution Allocation_Report'!$A$9:$D$314,4,FALSE)*$N$321,0)</f>
        <v>504</v>
      </c>
      <c r="O284" s="40">
        <f>ROUND(VLOOKUP($A284,'Contribution Allocation_Report'!$A$9:$D$314,4,FALSE)*$O$321,0)</f>
        <v>-1360</v>
      </c>
      <c r="Q284" s="40">
        <f>+VLOOKUP(A284,'Change in Proportion Layers'!$AK$8:$AP$318,2,FALSE)+K284</f>
        <v>-31814</v>
      </c>
      <c r="R284" s="40">
        <f>+VLOOKUP(A284,'Change in Proportion Layers'!$AK$8:$AP$318,3,FALSE)+L284</f>
        <v>-7832</v>
      </c>
      <c r="S284" s="40">
        <f>+VLOOKUP(A284,'Change in Proportion Layers'!$AK$8:$AP$318,4,FALSE)+M284</f>
        <v>11912</v>
      </c>
      <c r="T284" s="40">
        <f>+VLOOKUP(A284,'Change in Proportion Layers'!$AK$8:$AP$318,5,FALSE)+N284</f>
        <v>12372</v>
      </c>
      <c r="U284" s="40">
        <f>+VLOOKUP(A284,'Change in Proportion Layers'!$AK$8:$AP$318,6,FALSE)+O284+1</f>
        <v>-10082</v>
      </c>
      <c r="W284" s="40">
        <f>('OPEB Amounts_Report'!G284-'OPEB Amounts_Report'!M284)</f>
        <v>-25444</v>
      </c>
      <c r="X284" s="109">
        <f t="shared" si="81"/>
        <v>0</v>
      </c>
    </row>
    <row r="285" spans="1:24">
      <c r="A285" s="22">
        <v>2720</v>
      </c>
      <c r="B285" s="23" t="s">
        <v>264</v>
      </c>
      <c r="C285" s="37">
        <f t="shared" si="71"/>
        <v>-537340</v>
      </c>
      <c r="D285" s="37">
        <f t="shared" si="72"/>
        <v>-383259</v>
      </c>
      <c r="E285" s="37">
        <f t="shared" si="73"/>
        <v>-151946</v>
      </c>
      <c r="F285" s="37">
        <f t="shared" si="74"/>
        <v>-23606</v>
      </c>
      <c r="G285" s="37">
        <f t="shared" si="75"/>
        <v>-8511</v>
      </c>
      <c r="I285" s="41"/>
      <c r="K285" s="40">
        <f>ROUND(VLOOKUP($A285,'Contribution Allocation_Report'!$A$9:$D$314,4,FALSE)*$K$321,0)</f>
        <v>-528847</v>
      </c>
      <c r="L285" s="40">
        <f>ROUND(VLOOKUP($A285,'Contribution Allocation_Report'!$A$9:$D$314,4,FALSE)*$L$321,0)</f>
        <v>-356551</v>
      </c>
      <c r="M285" s="40">
        <f>ROUND(VLOOKUP($A285,'Contribution Allocation_Report'!$A$9:$D$314,4,FALSE)*$M$321,0)</f>
        <v>-114364</v>
      </c>
      <c r="N285" s="40">
        <f>ROUND(VLOOKUP($A285,'Contribution Allocation_Report'!$A$9:$D$314,4,FALSE)*$N$321,0)</f>
        <v>4708</v>
      </c>
      <c r="O285" s="40">
        <f>ROUND(VLOOKUP($A285,'Contribution Allocation_Report'!$A$9:$D$314,4,FALSE)*$O$321,0)</f>
        <v>-12706</v>
      </c>
      <c r="Q285" s="40">
        <f>+VLOOKUP(A285,'Change in Proportion Layers'!$AK$8:$AP$318,2,FALSE)+K285</f>
        <v>-537340</v>
      </c>
      <c r="R285" s="40">
        <f>+VLOOKUP(A285,'Change in Proportion Layers'!$AK$8:$AP$318,3,FALSE)+L285</f>
        <v>-383259</v>
      </c>
      <c r="S285" s="40">
        <f>+VLOOKUP(A285,'Change in Proportion Layers'!$AK$8:$AP$318,4,FALSE)+M285</f>
        <v>-151946</v>
      </c>
      <c r="T285" s="40">
        <f>+VLOOKUP(A285,'Change in Proportion Layers'!$AK$8:$AP$318,5,FALSE)+N285</f>
        <v>-23606</v>
      </c>
      <c r="U285" s="40">
        <f>+VLOOKUP(A285,'Change in Proportion Layers'!$AK$8:$AP$318,6,FALSE)+O285-1</f>
        <v>-8511</v>
      </c>
      <c r="W285" s="40">
        <f>('OPEB Amounts_Report'!G285-'OPEB Amounts_Report'!M285)</f>
        <v>-1104662</v>
      </c>
      <c r="X285" s="109">
        <f t="shared" si="81"/>
        <v>0</v>
      </c>
    </row>
    <row r="286" spans="1:24">
      <c r="A286" s="24">
        <v>2750</v>
      </c>
      <c r="B286" s="3" t="s">
        <v>265</v>
      </c>
      <c r="C286" s="38">
        <f t="shared" si="71"/>
        <v>-41123</v>
      </c>
      <c r="D286" s="38">
        <f t="shared" si="72"/>
        <v>-24233</v>
      </c>
      <c r="E286" s="38">
        <f t="shared" si="73"/>
        <v>-17455</v>
      </c>
      <c r="F286" s="38">
        <f t="shared" si="74"/>
        <v>-8298</v>
      </c>
      <c r="G286" s="38">
        <f t="shared" si="75"/>
        <v>1559</v>
      </c>
      <c r="I286" s="41"/>
      <c r="K286" s="40">
        <f>ROUND(VLOOKUP($A286,'Contribution Allocation_Report'!$A$9:$D$314,4,FALSE)*$K$321,0)</f>
        <v>-34588</v>
      </c>
      <c r="L286" s="40">
        <f>ROUND(VLOOKUP($A286,'Contribution Allocation_Report'!$A$9:$D$314,4,FALSE)*$L$321,0)</f>
        <v>-23319</v>
      </c>
      <c r="M286" s="40">
        <f>ROUND(VLOOKUP($A286,'Contribution Allocation_Report'!$A$9:$D$314,4,FALSE)*$M$321,0)</f>
        <v>-7480</v>
      </c>
      <c r="N286" s="40">
        <f>ROUND(VLOOKUP($A286,'Contribution Allocation_Report'!$A$9:$D$314,4,FALSE)*$N$321,0)</f>
        <v>308</v>
      </c>
      <c r="O286" s="40">
        <f>ROUND(VLOOKUP($A286,'Contribution Allocation_Report'!$A$9:$D$314,4,FALSE)*$O$321,0)</f>
        <v>-831</v>
      </c>
      <c r="Q286" s="40">
        <f>+VLOOKUP(A286,'Change in Proportion Layers'!$AK$8:$AP$318,2,FALSE)+K286</f>
        <v>-41123</v>
      </c>
      <c r="R286" s="40">
        <f>+VLOOKUP(A286,'Change in Proportion Layers'!$AK$8:$AP$318,3,FALSE)+L286</f>
        <v>-24233</v>
      </c>
      <c r="S286" s="40">
        <f>+VLOOKUP(A286,'Change in Proportion Layers'!$AK$8:$AP$318,4,FALSE)+M286</f>
        <v>-17455</v>
      </c>
      <c r="T286" s="40">
        <f>+VLOOKUP(A286,'Change in Proportion Layers'!$AK$8:$AP$318,5,FALSE)+N286</f>
        <v>-8298</v>
      </c>
      <c r="U286" s="40">
        <f>+VLOOKUP(A286,'Change in Proportion Layers'!$AK$8:$AP$318,6,FALSE)+O286-1</f>
        <v>1559</v>
      </c>
      <c r="W286" s="40">
        <f>('OPEB Amounts_Report'!G286-'OPEB Amounts_Report'!M286)</f>
        <v>-89550</v>
      </c>
      <c r="X286" s="109">
        <f t="shared" si="81"/>
        <v>0</v>
      </c>
    </row>
    <row r="287" spans="1:24">
      <c r="A287" s="22">
        <v>2770</v>
      </c>
      <c r="B287" s="23" t="s">
        <v>266</v>
      </c>
      <c r="C287" s="37">
        <f t="shared" si="71"/>
        <v>-435012</v>
      </c>
      <c r="D287" s="37">
        <f t="shared" si="72"/>
        <v>-227585</v>
      </c>
      <c r="E287" s="37">
        <f t="shared" si="73"/>
        <v>-74009</v>
      </c>
      <c r="F287" s="37">
        <f t="shared" si="74"/>
        <v>50118</v>
      </c>
      <c r="G287" s="37">
        <f t="shared" si="75"/>
        <v>25443</v>
      </c>
      <c r="I287" s="41"/>
      <c r="K287" s="40">
        <f>ROUND(VLOOKUP($A287,'Contribution Allocation_Report'!$A$9:$D$314,4,FALSE)*$K$321,0)</f>
        <v>-501491</v>
      </c>
      <c r="L287" s="40">
        <f>ROUND(VLOOKUP($A287,'Contribution Allocation_Report'!$A$9:$D$314,4,FALSE)*$L$321,0)</f>
        <v>-338108</v>
      </c>
      <c r="M287" s="40">
        <f>ROUND(VLOOKUP($A287,'Contribution Allocation_Report'!$A$9:$D$314,4,FALSE)*$M$321,0)</f>
        <v>-108448</v>
      </c>
      <c r="N287" s="40">
        <f>ROUND(VLOOKUP($A287,'Contribution Allocation_Report'!$A$9:$D$314,4,FALSE)*$N$321,0)</f>
        <v>4464</v>
      </c>
      <c r="O287" s="40">
        <f>ROUND(VLOOKUP($A287,'Contribution Allocation_Report'!$A$9:$D$314,4,FALSE)*$O$321,0)</f>
        <v>-12049</v>
      </c>
      <c r="Q287" s="40">
        <f>+VLOOKUP(A287,'Change in Proportion Layers'!$AK$8:$AP$318,2,FALSE)+K287</f>
        <v>-435012</v>
      </c>
      <c r="R287" s="40">
        <f>+VLOOKUP(A287,'Change in Proportion Layers'!$AK$8:$AP$318,3,FALSE)+L287</f>
        <v>-227585</v>
      </c>
      <c r="S287" s="40">
        <f>+VLOOKUP(A287,'Change in Proportion Layers'!$AK$8:$AP$318,4,FALSE)+M287</f>
        <v>-74009</v>
      </c>
      <c r="T287" s="40">
        <f>+VLOOKUP(A287,'Change in Proportion Layers'!$AK$8:$AP$318,5,FALSE)+N287</f>
        <v>50118</v>
      </c>
      <c r="U287" s="40">
        <f>+VLOOKUP(A287,'Change in Proportion Layers'!$AK$8:$AP$318,6,FALSE)+O287-1</f>
        <v>25443</v>
      </c>
      <c r="W287" s="40">
        <f>('OPEB Amounts_Report'!G287-'OPEB Amounts_Report'!M287)</f>
        <v>-661045</v>
      </c>
      <c r="X287" s="109">
        <f t="shared" si="81"/>
        <v>0</v>
      </c>
    </row>
    <row r="288" spans="1:24">
      <c r="A288" s="24">
        <v>32106</v>
      </c>
      <c r="B288" s="3" t="s">
        <v>267</v>
      </c>
      <c r="C288" s="38">
        <f t="shared" si="71"/>
        <v>-51136</v>
      </c>
      <c r="D288" s="38">
        <f t="shared" si="72"/>
        <v>-70359</v>
      </c>
      <c r="E288" s="38">
        <f t="shared" si="73"/>
        <v>-38797</v>
      </c>
      <c r="F288" s="38">
        <f t="shared" si="74"/>
        <v>-6793</v>
      </c>
      <c r="G288" s="38">
        <f t="shared" si="75"/>
        <v>10872</v>
      </c>
      <c r="I288" s="41"/>
      <c r="K288" s="40">
        <f>ROUND(VLOOKUP($A288,'Contribution Allocation_Report'!$A$9:$D$314,4,FALSE)*$K$321,0)</f>
        <v>-37955</v>
      </c>
      <c r="L288" s="40">
        <f>ROUND(VLOOKUP($A288,'Contribution Allocation_Report'!$A$9:$D$314,4,FALSE)*$L$321,0)</f>
        <v>-25589</v>
      </c>
      <c r="M288" s="40">
        <f>ROUND(VLOOKUP($A288,'Contribution Allocation_Report'!$A$9:$D$314,4,FALSE)*$M$321,0)</f>
        <v>-8208</v>
      </c>
      <c r="N288" s="40">
        <f>ROUND(VLOOKUP($A288,'Contribution Allocation_Report'!$A$9:$D$314,4,FALSE)*$N$321,0)</f>
        <v>338</v>
      </c>
      <c r="O288" s="40">
        <f>ROUND(VLOOKUP($A288,'Contribution Allocation_Report'!$A$9:$D$314,4,FALSE)*$O$321,0)</f>
        <v>-912</v>
      </c>
      <c r="Q288" s="40">
        <f>+VLOOKUP(A288,'Change in Proportion Layers'!$AK$8:$AP$318,2,FALSE)+K288</f>
        <v>-51136</v>
      </c>
      <c r="R288" s="40">
        <f>+VLOOKUP(A288,'Change in Proportion Layers'!$AK$8:$AP$318,3,FALSE)+L288</f>
        <v>-70359</v>
      </c>
      <c r="S288" s="40">
        <f>+VLOOKUP(A288,'Change in Proportion Layers'!$AK$8:$AP$318,4,FALSE)+M288</f>
        <v>-38797</v>
      </c>
      <c r="T288" s="40">
        <f>+VLOOKUP(A288,'Change in Proportion Layers'!$AK$8:$AP$318,5,FALSE)+N288</f>
        <v>-6793</v>
      </c>
      <c r="U288" s="40">
        <f>+VLOOKUP(A288,'Change in Proportion Layers'!$AK$8:$AP$318,6,FALSE)+O288</f>
        <v>10872</v>
      </c>
      <c r="W288" s="40">
        <f>('OPEB Amounts_Report'!G288-'OPEB Amounts_Report'!M288)</f>
        <v>-156213</v>
      </c>
      <c r="X288" s="109">
        <f t="shared" si="81"/>
        <v>0</v>
      </c>
    </row>
    <row r="289" spans="1:24">
      <c r="A289" s="22">
        <v>4180</v>
      </c>
      <c r="B289" s="23" t="s">
        <v>268</v>
      </c>
      <c r="C289" s="37">
        <f t="shared" si="71"/>
        <v>-56848</v>
      </c>
      <c r="D289" s="37">
        <f t="shared" si="72"/>
        <v>-54963</v>
      </c>
      <c r="E289" s="37">
        <f t="shared" si="73"/>
        <v>-19021</v>
      </c>
      <c r="F289" s="37">
        <f t="shared" si="74"/>
        <v>-302</v>
      </c>
      <c r="G289" s="37">
        <f t="shared" si="75"/>
        <v>2195</v>
      </c>
      <c r="I289" s="41"/>
      <c r="K289" s="40">
        <f>ROUND(VLOOKUP($A289,'Contribution Allocation_Report'!$A$9:$D$314,4,FALSE)*$K$321,0)</f>
        <v>-52269</v>
      </c>
      <c r="L289" s="40">
        <f>ROUND(VLOOKUP($A289,'Contribution Allocation_Report'!$A$9:$D$314,4,FALSE)*$L$321,0)</f>
        <v>-35240</v>
      </c>
      <c r="M289" s="40">
        <f>ROUND(VLOOKUP($A289,'Contribution Allocation_Report'!$A$9:$D$314,4,FALSE)*$M$321,0)</f>
        <v>-11303</v>
      </c>
      <c r="N289" s="40">
        <f>ROUND(VLOOKUP($A289,'Contribution Allocation_Report'!$A$9:$D$314,4,FALSE)*$N$321,0)</f>
        <v>465</v>
      </c>
      <c r="O289" s="40">
        <f>ROUND(VLOOKUP($A289,'Contribution Allocation_Report'!$A$9:$D$314,4,FALSE)*$O$321,0)</f>
        <v>-1256</v>
      </c>
      <c r="Q289" s="40">
        <f>+VLOOKUP(A289,'Change in Proportion Layers'!$AK$8:$AP$318,2,FALSE)+K289</f>
        <v>-56848</v>
      </c>
      <c r="R289" s="40">
        <f>+VLOOKUP(A289,'Change in Proportion Layers'!$AK$8:$AP$318,3,FALSE)+L289</f>
        <v>-54963</v>
      </c>
      <c r="S289" s="40">
        <f>+VLOOKUP(A289,'Change in Proportion Layers'!$AK$8:$AP$318,4,FALSE)+M289</f>
        <v>-19021</v>
      </c>
      <c r="T289" s="40">
        <f>+VLOOKUP(A289,'Change in Proportion Layers'!$AK$8:$AP$318,5,FALSE)+N289</f>
        <v>-302</v>
      </c>
      <c r="U289" s="40">
        <f>+VLOOKUP(A289,'Change in Proportion Layers'!$AK$8:$AP$318,6,FALSE)+O289</f>
        <v>2195</v>
      </c>
      <c r="W289" s="40">
        <f>('OPEB Amounts_Report'!G289-'OPEB Amounts_Report'!M289)</f>
        <v>-128939</v>
      </c>
      <c r="X289" s="109">
        <f t="shared" si="81"/>
        <v>0</v>
      </c>
    </row>
    <row r="290" spans="1:24">
      <c r="A290" s="24">
        <v>21063</v>
      </c>
      <c r="B290" s="3" t="s">
        <v>269</v>
      </c>
      <c r="C290" s="38">
        <f t="shared" si="71"/>
        <v>-726600</v>
      </c>
      <c r="D290" s="38">
        <f t="shared" si="72"/>
        <v>-498739</v>
      </c>
      <c r="E290" s="38">
        <f t="shared" si="73"/>
        <v>-144641</v>
      </c>
      <c r="F290" s="38">
        <f t="shared" si="74"/>
        <v>50882</v>
      </c>
      <c r="G290" s="38">
        <f t="shared" si="75"/>
        <v>-38796</v>
      </c>
      <c r="I290" s="41"/>
      <c r="K290" s="40">
        <f>ROUND(VLOOKUP($A290,'Contribution Allocation_Report'!$A$9:$D$314,4,FALSE)*$K$321,0)</f>
        <v>-782283</v>
      </c>
      <c r="L290" s="40">
        <f>ROUND(VLOOKUP($A290,'Contribution Allocation_Report'!$A$9:$D$314,4,FALSE)*$L$321,0)</f>
        <v>-527419</v>
      </c>
      <c r="M290" s="40">
        <f>ROUND(VLOOKUP($A290,'Contribution Allocation_Report'!$A$9:$D$314,4,FALSE)*$M$321,0)</f>
        <v>-169170</v>
      </c>
      <c r="N290" s="40">
        <f>ROUND(VLOOKUP($A290,'Contribution Allocation_Report'!$A$9:$D$314,4,FALSE)*$N$321,0)</f>
        <v>6964</v>
      </c>
      <c r="O290" s="40">
        <f>ROUND(VLOOKUP($A290,'Contribution Allocation_Report'!$A$9:$D$314,4,FALSE)*$O$321,0)</f>
        <v>-18796</v>
      </c>
      <c r="Q290" s="40">
        <f>+VLOOKUP(A290,'Change in Proportion Layers'!$AK$8:$AP$318,2,FALSE)+K290</f>
        <v>-726600</v>
      </c>
      <c r="R290" s="40">
        <f>+VLOOKUP(A290,'Change in Proportion Layers'!$AK$8:$AP$318,3,FALSE)+L290</f>
        <v>-498739</v>
      </c>
      <c r="S290" s="40">
        <f>+VLOOKUP(A290,'Change in Proportion Layers'!$AK$8:$AP$318,4,FALSE)+M290</f>
        <v>-144641</v>
      </c>
      <c r="T290" s="40">
        <f>+VLOOKUP(A290,'Change in Proportion Layers'!$AK$8:$AP$318,5,FALSE)+N290</f>
        <v>50882</v>
      </c>
      <c r="U290" s="40">
        <f>+VLOOKUP(A290,'Change in Proportion Layers'!$AK$8:$AP$318,6,FALSE)+O290+1</f>
        <v>-38796</v>
      </c>
      <c r="W290" s="40">
        <f>('OPEB Amounts_Report'!G290-'OPEB Amounts_Report'!M290)</f>
        <v>-1357894</v>
      </c>
      <c r="X290" s="109">
        <f t="shared" si="81"/>
        <v>0</v>
      </c>
    </row>
    <row r="291" spans="1:24">
      <c r="A291" s="22">
        <v>10033</v>
      </c>
      <c r="B291" s="23" t="s">
        <v>270</v>
      </c>
      <c r="C291" s="37">
        <f t="shared" si="71"/>
        <v>-527366</v>
      </c>
      <c r="D291" s="37">
        <f t="shared" si="72"/>
        <v>-387443</v>
      </c>
      <c r="E291" s="37">
        <f t="shared" si="73"/>
        <v>-144992</v>
      </c>
      <c r="F291" s="37">
        <f t="shared" si="74"/>
        <v>-46596</v>
      </c>
      <c r="G291" s="37">
        <f t="shared" si="75"/>
        <v>-13481</v>
      </c>
      <c r="I291" s="41"/>
      <c r="K291" s="40">
        <f>ROUND(VLOOKUP($A291,'Contribution Allocation_Report'!$A$9:$D$314,4,FALSE)*$K$321,0)</f>
        <v>-502151</v>
      </c>
      <c r="L291" s="40">
        <f>ROUND(VLOOKUP($A291,'Contribution Allocation_Report'!$A$9:$D$314,4,FALSE)*$L$321,0)</f>
        <v>-338553</v>
      </c>
      <c r="M291" s="40">
        <f>ROUND(VLOOKUP($A291,'Contribution Allocation_Report'!$A$9:$D$314,4,FALSE)*$M$321,0)</f>
        <v>-108591</v>
      </c>
      <c r="N291" s="40">
        <f>ROUND(VLOOKUP($A291,'Contribution Allocation_Report'!$A$9:$D$314,4,FALSE)*$N$321,0)</f>
        <v>4470</v>
      </c>
      <c r="O291" s="40">
        <f>ROUND(VLOOKUP($A291,'Contribution Allocation_Report'!$A$9:$D$314,4,FALSE)*$O$321,0)</f>
        <v>-12065</v>
      </c>
      <c r="Q291" s="40">
        <f>+VLOOKUP(A291,'Change in Proportion Layers'!$AK$8:$AP$318,2,FALSE)+K291</f>
        <v>-527366</v>
      </c>
      <c r="R291" s="40">
        <f>+VLOOKUP(A291,'Change in Proportion Layers'!$AK$8:$AP$318,3,FALSE)+L291</f>
        <v>-387443</v>
      </c>
      <c r="S291" s="40">
        <f>+VLOOKUP(A291,'Change in Proportion Layers'!$AK$8:$AP$318,4,FALSE)+M291</f>
        <v>-144992</v>
      </c>
      <c r="T291" s="40">
        <f>+VLOOKUP(A291,'Change in Proportion Layers'!$AK$8:$AP$318,5,FALSE)+N291</f>
        <v>-46596</v>
      </c>
      <c r="U291" s="40">
        <f>+VLOOKUP(A291,'Change in Proportion Layers'!$AK$8:$AP$318,6,FALSE)+O291</f>
        <v>-13481</v>
      </c>
      <c r="W291" s="40">
        <f>('OPEB Amounts_Report'!G291-'OPEB Amounts_Report'!M291)</f>
        <v>-1119878</v>
      </c>
      <c r="X291" s="109">
        <f t="shared" si="81"/>
        <v>0</v>
      </c>
    </row>
    <row r="292" spans="1:24">
      <c r="A292" s="24">
        <v>15049</v>
      </c>
      <c r="B292" s="3" t="s">
        <v>271</v>
      </c>
      <c r="C292" s="38">
        <f t="shared" si="71"/>
        <v>-502711</v>
      </c>
      <c r="D292" s="38">
        <f t="shared" si="72"/>
        <v>-324142</v>
      </c>
      <c r="E292" s="38">
        <f t="shared" si="73"/>
        <v>-108464</v>
      </c>
      <c r="F292" s="38">
        <f t="shared" si="74"/>
        <v>-60059</v>
      </c>
      <c r="G292" s="38">
        <f t="shared" si="75"/>
        <v>-69348</v>
      </c>
      <c r="I292" s="41"/>
      <c r="K292" s="40">
        <f>ROUND(VLOOKUP($A292,'Contribution Allocation_Report'!$A$9:$D$314,4,FALSE)*$K$321,0)</f>
        <v>-552365</v>
      </c>
      <c r="L292" s="40">
        <f>ROUND(VLOOKUP($A292,'Contribution Allocation_Report'!$A$9:$D$314,4,FALSE)*$L$321,0)</f>
        <v>-372407</v>
      </c>
      <c r="M292" s="40">
        <f>ROUND(VLOOKUP($A292,'Contribution Allocation_Report'!$A$9:$D$314,4,FALSE)*$M$321,0)</f>
        <v>-119450</v>
      </c>
      <c r="N292" s="40">
        <f>ROUND(VLOOKUP($A292,'Contribution Allocation_Report'!$A$9:$D$314,4,FALSE)*$N$321,0)</f>
        <v>4917</v>
      </c>
      <c r="O292" s="40">
        <f>ROUND(VLOOKUP($A292,'Contribution Allocation_Report'!$A$9:$D$314,4,FALSE)*$O$321,0)</f>
        <v>-13271</v>
      </c>
      <c r="Q292" s="40">
        <f>+VLOOKUP(A292,'Change in Proportion Layers'!$AK$8:$AP$318,2,FALSE)+K292</f>
        <v>-502711</v>
      </c>
      <c r="R292" s="40">
        <f>+VLOOKUP(A292,'Change in Proportion Layers'!$AK$8:$AP$318,3,FALSE)+L292</f>
        <v>-324142</v>
      </c>
      <c r="S292" s="40">
        <f>+VLOOKUP(A292,'Change in Proportion Layers'!$AK$8:$AP$318,4,FALSE)+M292</f>
        <v>-108464</v>
      </c>
      <c r="T292" s="40">
        <f>+VLOOKUP(A292,'Change in Proportion Layers'!$AK$8:$AP$318,5,FALSE)+N292</f>
        <v>-60059</v>
      </c>
      <c r="U292" s="40">
        <f>+VLOOKUP(A292,'Change in Proportion Layers'!$AK$8:$AP$318,6,FALSE)+O292</f>
        <v>-69348</v>
      </c>
      <c r="W292" s="40">
        <f>('OPEB Amounts_Report'!G292-'OPEB Amounts_Report'!M292)</f>
        <v>-1064724</v>
      </c>
      <c r="X292" s="109">
        <f t="shared" si="81"/>
        <v>0</v>
      </c>
    </row>
    <row r="293" spans="1:24">
      <c r="A293" s="163">
        <v>1315</v>
      </c>
      <c r="B293" s="164" t="s">
        <v>272</v>
      </c>
      <c r="C293" s="165">
        <f t="shared" si="71"/>
        <v>-245798</v>
      </c>
      <c r="D293" s="165">
        <f t="shared" si="72"/>
        <v>-187244</v>
      </c>
      <c r="E293" s="165">
        <f t="shared" si="73"/>
        <v>-124716</v>
      </c>
      <c r="F293" s="165">
        <f t="shared" si="74"/>
        <v>-55479</v>
      </c>
      <c r="G293" s="165">
        <f t="shared" si="75"/>
        <v>-22860</v>
      </c>
      <c r="I293" s="41"/>
      <c r="K293" s="40">
        <f>ROUND(VLOOKUP($A293,'Contribution Allocation_Report'!$A$9:$D$314,4,FALSE)*$K$321,0)</f>
        <v>-317880</v>
      </c>
      <c r="L293" s="40">
        <f>ROUND(VLOOKUP($A293,'Contribution Allocation_Report'!$A$9:$D$314,4,FALSE)*$L$321,0)</f>
        <v>-214316</v>
      </c>
      <c r="M293" s="40">
        <f>ROUND(VLOOKUP($A293,'Contribution Allocation_Report'!$A$9:$D$314,4,FALSE)*$M$321,0)</f>
        <v>-68742</v>
      </c>
      <c r="N293" s="40">
        <f>ROUND(VLOOKUP($A293,'Contribution Allocation_Report'!$A$9:$D$314,4,FALSE)*$N$321,0)</f>
        <v>2830</v>
      </c>
      <c r="O293" s="40">
        <f>ROUND(VLOOKUP($A293,'Contribution Allocation_Report'!$A$9:$D$314,4,FALSE)*$O$321,0)</f>
        <v>-7638</v>
      </c>
      <c r="Q293" s="40">
        <f>+VLOOKUP(A293,'Change in Proportion Layers'!$AK$8:$AP$318,2,FALSE)+K293</f>
        <v>-245798</v>
      </c>
      <c r="R293" s="40">
        <f>+VLOOKUP(A293,'Change in Proportion Layers'!$AK$8:$AP$318,3,FALSE)+L293</f>
        <v>-187244</v>
      </c>
      <c r="S293" s="40">
        <f>+VLOOKUP(A293,'Change in Proportion Layers'!$AK$8:$AP$318,4,FALSE)+M293</f>
        <v>-124716</v>
      </c>
      <c r="T293" s="40">
        <f>+VLOOKUP(A293,'Change in Proportion Layers'!$AK$8:$AP$318,5,FALSE)+N293</f>
        <v>-55479</v>
      </c>
      <c r="U293" s="40">
        <f>+VLOOKUP(A293,'Change in Proportion Layers'!$AK$8:$AP$318,6,FALSE)+O293+1</f>
        <v>-22860</v>
      </c>
      <c r="W293" s="40">
        <f>('OPEB Amounts_Report'!G293-'OPEB Amounts_Report'!M293)</f>
        <v>-636097</v>
      </c>
      <c r="X293" s="109">
        <f t="shared" si="81"/>
        <v>0</v>
      </c>
    </row>
    <row r="294" spans="1:24">
      <c r="A294" s="24">
        <v>3340</v>
      </c>
      <c r="B294" s="3" t="s">
        <v>273</v>
      </c>
      <c r="C294" s="38">
        <f t="shared" si="71"/>
        <v>-136319</v>
      </c>
      <c r="D294" s="38">
        <f t="shared" si="72"/>
        <v>-120758</v>
      </c>
      <c r="E294" s="38">
        <f t="shared" si="73"/>
        <v>-70497</v>
      </c>
      <c r="F294" s="38">
        <f t="shared" si="74"/>
        <v>-12228</v>
      </c>
      <c r="G294" s="38">
        <f t="shared" si="75"/>
        <v>-3739</v>
      </c>
      <c r="I294" s="41"/>
      <c r="K294" s="40">
        <f>ROUND(VLOOKUP($A294,'Contribution Allocation_Report'!$A$9:$D$314,4,FALSE)*$K$321,0)</f>
        <v>-106615</v>
      </c>
      <c r="L294" s="40">
        <f>ROUND(VLOOKUP($A294,'Contribution Allocation_Report'!$A$9:$D$314,4,FALSE)*$L$321,0)</f>
        <v>-71880</v>
      </c>
      <c r="M294" s="40">
        <f>ROUND(VLOOKUP($A294,'Contribution Allocation_Report'!$A$9:$D$314,4,FALSE)*$M$321,0)</f>
        <v>-23056</v>
      </c>
      <c r="N294" s="40">
        <f>ROUND(VLOOKUP($A294,'Contribution Allocation_Report'!$A$9:$D$314,4,FALSE)*$N$321,0)</f>
        <v>949</v>
      </c>
      <c r="O294" s="40">
        <f>ROUND(VLOOKUP($A294,'Contribution Allocation_Report'!$A$9:$D$314,4,FALSE)*$O$321,0)</f>
        <v>-2562</v>
      </c>
      <c r="Q294" s="40">
        <f>+VLOOKUP(A294,'Change in Proportion Layers'!$AK$8:$AP$318,2,FALSE)+K294</f>
        <v>-136319</v>
      </c>
      <c r="R294" s="40">
        <f>+VLOOKUP(A294,'Change in Proportion Layers'!$AK$8:$AP$318,3,FALSE)+L294</f>
        <v>-120758</v>
      </c>
      <c r="S294" s="40">
        <f>+VLOOKUP(A294,'Change in Proportion Layers'!$AK$8:$AP$318,4,FALSE)+M294</f>
        <v>-70497</v>
      </c>
      <c r="T294" s="40">
        <f>+VLOOKUP(A294,'Change in Proportion Layers'!$AK$8:$AP$318,5,FALSE)+N294</f>
        <v>-12228</v>
      </c>
      <c r="U294" s="40">
        <f>+VLOOKUP(A294,'Change in Proportion Layers'!$AK$8:$AP$318,6,FALSE)+O294+1</f>
        <v>-3739</v>
      </c>
      <c r="W294" s="40">
        <f>('OPEB Amounts_Report'!G294-'OPEB Amounts_Report'!M294)</f>
        <v>-343541</v>
      </c>
      <c r="X294" s="109">
        <f t="shared" si="81"/>
        <v>0</v>
      </c>
    </row>
    <row r="295" spans="1:24">
      <c r="A295" s="24">
        <v>3350</v>
      </c>
      <c r="B295" s="3" t="s">
        <v>274</v>
      </c>
      <c r="C295" s="162">
        <f t="shared" si="71"/>
        <v>-833213</v>
      </c>
      <c r="D295" s="162">
        <f t="shared" si="72"/>
        <v>-263813</v>
      </c>
      <c r="E295" s="162">
        <f t="shared" si="73"/>
        <v>-89726</v>
      </c>
      <c r="F295" s="162">
        <f t="shared" si="74"/>
        <v>192273</v>
      </c>
      <c r="G295" s="162">
        <f t="shared" si="75"/>
        <v>80447</v>
      </c>
      <c r="I295" s="41"/>
      <c r="K295" s="40">
        <f>ROUND(VLOOKUP($A295,'Contribution Allocation_Report'!$A$9:$D$314,4,FALSE)*$K$321,0)</f>
        <v>-971936</v>
      </c>
      <c r="L295" s="40">
        <f>ROUND(VLOOKUP($A295,'Contribution Allocation_Report'!$A$9:$D$314,4,FALSE)*$L$321,0)</f>
        <v>-655284</v>
      </c>
      <c r="M295" s="40">
        <f>ROUND(VLOOKUP($A295,'Contribution Allocation_Report'!$A$9:$D$314,4,FALSE)*$M$321,0)</f>
        <v>-210182</v>
      </c>
      <c r="N295" s="40">
        <f>ROUND(VLOOKUP($A295,'Contribution Allocation_Report'!$A$9:$D$314,4,FALSE)*$N$321,0)</f>
        <v>8652</v>
      </c>
      <c r="O295" s="40">
        <f>ROUND(VLOOKUP($A295,'Contribution Allocation_Report'!$A$9:$D$314,4,FALSE)*$O$321,0)</f>
        <v>-23352</v>
      </c>
      <c r="Q295" s="40">
        <f>+VLOOKUP(A295,'Change in Proportion Layers'!$AK$8:$AP$318,2,FALSE)+K295</f>
        <v>-833213</v>
      </c>
      <c r="R295" s="40">
        <f>+VLOOKUP(A295,'Change in Proportion Layers'!$AK$8:$AP$318,3,FALSE)+L295</f>
        <v>-263813</v>
      </c>
      <c r="S295" s="40">
        <f>+VLOOKUP(A295,'Change in Proportion Layers'!$AK$8:$AP$318,4,FALSE)+M295</f>
        <v>-89726</v>
      </c>
      <c r="T295" s="40">
        <f>+VLOOKUP(A295,'Change in Proportion Layers'!$AK$8:$AP$318,5,FALSE)+N295</f>
        <v>192273</v>
      </c>
      <c r="U295" s="40">
        <f>+VLOOKUP(A295,'Change in Proportion Layers'!$AK$8:$AP$318,6,FALSE)+O295+1</f>
        <v>80447</v>
      </c>
      <c r="W295" s="40">
        <f>('OPEB Amounts_Report'!G295-'OPEB Amounts_Report'!M295)</f>
        <v>-914032</v>
      </c>
      <c r="X295" s="109">
        <f t="shared" si="81"/>
        <v>0</v>
      </c>
    </row>
    <row r="296" spans="1:24">
      <c r="A296" s="22">
        <v>24073</v>
      </c>
      <c r="B296" s="23" t="s">
        <v>275</v>
      </c>
      <c r="C296" s="37">
        <f t="shared" si="71"/>
        <v>-84581</v>
      </c>
      <c r="D296" s="37">
        <f t="shared" si="72"/>
        <v>-58627</v>
      </c>
      <c r="E296" s="37">
        <f t="shared" si="73"/>
        <v>1614</v>
      </c>
      <c r="F296" s="37">
        <f t="shared" si="74"/>
        <v>11847</v>
      </c>
      <c r="G296" s="37">
        <f t="shared" si="75"/>
        <v>6217</v>
      </c>
      <c r="I296" s="41"/>
      <c r="K296" s="40">
        <f>ROUND(VLOOKUP($A296,'Contribution Allocation_Report'!$A$9:$D$314,4,FALSE)*$K$321,0)</f>
        <v>-109046</v>
      </c>
      <c r="L296" s="40">
        <f>ROUND(VLOOKUP($A296,'Contribution Allocation_Report'!$A$9:$D$314,4,FALSE)*$L$321,0)</f>
        <v>-73519</v>
      </c>
      <c r="M296" s="40">
        <f>ROUND(VLOOKUP($A296,'Contribution Allocation_Report'!$A$9:$D$314,4,FALSE)*$M$321,0)</f>
        <v>-23581</v>
      </c>
      <c r="N296" s="40">
        <f>ROUND(VLOOKUP($A296,'Contribution Allocation_Report'!$A$9:$D$314,4,FALSE)*$N$321,0)</f>
        <v>971</v>
      </c>
      <c r="O296" s="40">
        <f>ROUND(VLOOKUP($A296,'Contribution Allocation_Report'!$A$9:$D$314,4,FALSE)*$O$321,0)</f>
        <v>-2620</v>
      </c>
      <c r="Q296" s="40">
        <f>+VLOOKUP(A296,'Change in Proportion Layers'!$AK$8:$AP$318,2,FALSE)+K296</f>
        <v>-84581</v>
      </c>
      <c r="R296" s="40">
        <f>+VLOOKUP(A296,'Change in Proportion Layers'!$AK$8:$AP$318,3,FALSE)+L296</f>
        <v>-58627</v>
      </c>
      <c r="S296" s="40">
        <f>+VLOOKUP(A296,'Change in Proportion Layers'!$AK$8:$AP$318,4,FALSE)+M296</f>
        <v>1614</v>
      </c>
      <c r="T296" s="40">
        <f>+VLOOKUP(A296,'Change in Proportion Layers'!$AK$8:$AP$318,5,FALSE)+N296</f>
        <v>11847</v>
      </c>
      <c r="U296" s="40">
        <f>+VLOOKUP(A296,'Change in Proportion Layers'!$AK$8:$AP$318,6,FALSE)+O296</f>
        <v>6217</v>
      </c>
      <c r="W296" s="40">
        <f>('OPEB Amounts_Report'!G296-'OPEB Amounts_Report'!M296)</f>
        <v>-123530</v>
      </c>
      <c r="X296" s="109">
        <f t="shared" si="81"/>
        <v>0</v>
      </c>
    </row>
    <row r="297" spans="1:24">
      <c r="A297" s="24">
        <v>2100</v>
      </c>
      <c r="B297" s="3" t="s">
        <v>276</v>
      </c>
      <c r="C297" s="38">
        <f t="shared" si="71"/>
        <v>-133911</v>
      </c>
      <c r="D297" s="38">
        <f t="shared" si="72"/>
        <v>-95924</v>
      </c>
      <c r="E297" s="38">
        <f t="shared" si="73"/>
        <v>-50078</v>
      </c>
      <c r="F297" s="38">
        <f t="shared" si="74"/>
        <v>-8879</v>
      </c>
      <c r="G297" s="38">
        <f t="shared" si="75"/>
        <v>1173</v>
      </c>
      <c r="I297" s="41"/>
      <c r="K297" s="40">
        <f>ROUND(VLOOKUP($A297,'Contribution Allocation_Report'!$A$9:$D$314,4,FALSE)*$K$321,0)</f>
        <v>-98003</v>
      </c>
      <c r="L297" s="40">
        <f>ROUND(VLOOKUP($A297,'Contribution Allocation_Report'!$A$9:$D$314,4,FALSE)*$L$321,0)</f>
        <v>-66074</v>
      </c>
      <c r="M297" s="40">
        <f>ROUND(VLOOKUP($A297,'Contribution Allocation_Report'!$A$9:$D$314,4,FALSE)*$M$321,0)</f>
        <v>-21193</v>
      </c>
      <c r="N297" s="40">
        <f>ROUND(VLOOKUP($A297,'Contribution Allocation_Report'!$A$9:$D$314,4,FALSE)*$N$321,0)</f>
        <v>872</v>
      </c>
      <c r="O297" s="40">
        <f>ROUND(VLOOKUP($A297,'Contribution Allocation_Report'!$A$9:$D$314,4,FALSE)*$O$321,0)</f>
        <v>-2355</v>
      </c>
      <c r="Q297" s="40">
        <f>+VLOOKUP(A297,'Change in Proportion Layers'!$AK$8:$AP$318,2,FALSE)+K297</f>
        <v>-133911</v>
      </c>
      <c r="R297" s="40">
        <f>+VLOOKUP(A297,'Change in Proportion Layers'!$AK$8:$AP$318,3,FALSE)+L297</f>
        <v>-95924</v>
      </c>
      <c r="S297" s="40">
        <f>+VLOOKUP(A297,'Change in Proportion Layers'!$AK$8:$AP$318,4,FALSE)+M297</f>
        <v>-50078</v>
      </c>
      <c r="T297" s="40">
        <f>+VLOOKUP(A297,'Change in Proportion Layers'!$AK$8:$AP$318,5,FALSE)+N297</f>
        <v>-8879</v>
      </c>
      <c r="U297" s="40">
        <f>+VLOOKUP(A297,'Change in Proportion Layers'!$AK$8:$AP$318,6,FALSE)+O297</f>
        <v>1173</v>
      </c>
      <c r="W297" s="40">
        <f>('OPEB Amounts_Report'!G297-'OPEB Amounts_Report'!M297)</f>
        <v>-287619</v>
      </c>
      <c r="X297" s="109">
        <f t="shared" si="81"/>
        <v>0</v>
      </c>
    </row>
    <row r="298" spans="1:24">
      <c r="A298" s="22">
        <v>2130</v>
      </c>
      <c r="B298" s="23" t="s">
        <v>277</v>
      </c>
      <c r="C298" s="37">
        <f t="shared" si="71"/>
        <v>-43348</v>
      </c>
      <c r="D298" s="37">
        <f t="shared" si="72"/>
        <v>-37090</v>
      </c>
      <c r="E298" s="37">
        <f t="shared" si="73"/>
        <v>-19180</v>
      </c>
      <c r="F298" s="37">
        <f t="shared" si="74"/>
        <v>-1341</v>
      </c>
      <c r="G298" s="37">
        <f t="shared" si="75"/>
        <v>-5131</v>
      </c>
      <c r="I298" s="41"/>
      <c r="K298" s="40">
        <f>ROUND(VLOOKUP($A298,'Contribution Allocation_Report'!$A$9:$D$314,4,FALSE)*$K$321,0)</f>
        <v>-25315</v>
      </c>
      <c r="L298" s="40">
        <f>ROUND(VLOOKUP($A298,'Contribution Allocation_Report'!$A$9:$D$314,4,FALSE)*$L$321,0)</f>
        <v>-17068</v>
      </c>
      <c r="M298" s="40">
        <f>ROUND(VLOOKUP($A298,'Contribution Allocation_Report'!$A$9:$D$314,4,FALSE)*$M$321,0)</f>
        <v>-5474</v>
      </c>
      <c r="N298" s="40">
        <f>ROUND(VLOOKUP($A298,'Contribution Allocation_Report'!$A$9:$D$314,4,FALSE)*$N$321,0)</f>
        <v>225</v>
      </c>
      <c r="O298" s="40">
        <f>ROUND(VLOOKUP($A298,'Contribution Allocation_Report'!$A$9:$D$314,4,FALSE)*$O$321,0)</f>
        <v>-608</v>
      </c>
      <c r="Q298" s="40">
        <f>+VLOOKUP(A298,'Change in Proportion Layers'!$AK$8:$AP$318,2,FALSE)+K298</f>
        <v>-43348</v>
      </c>
      <c r="R298" s="40">
        <f>+VLOOKUP(A298,'Change in Proportion Layers'!$AK$8:$AP$318,3,FALSE)+L298</f>
        <v>-37090</v>
      </c>
      <c r="S298" s="40">
        <f>+VLOOKUP(A298,'Change in Proportion Layers'!$AK$8:$AP$318,4,FALSE)+M298</f>
        <v>-19180</v>
      </c>
      <c r="T298" s="40">
        <f>+VLOOKUP(A298,'Change in Proportion Layers'!$AK$8:$AP$318,5,FALSE)+N298</f>
        <v>-1341</v>
      </c>
      <c r="U298" s="40">
        <f>+VLOOKUP(A298,'Change in Proportion Layers'!$AK$8:$AP$318,6,FALSE)+O298-1</f>
        <v>-5131</v>
      </c>
      <c r="W298" s="40">
        <f>('OPEB Amounts_Report'!G298-'OPEB Amounts_Report'!M298)</f>
        <v>-106090</v>
      </c>
      <c r="X298" s="109">
        <f t="shared" si="81"/>
        <v>0</v>
      </c>
    </row>
    <row r="299" spans="1:24">
      <c r="A299" s="24">
        <v>32099</v>
      </c>
      <c r="B299" s="3" t="s">
        <v>278</v>
      </c>
      <c r="C299" s="38">
        <f t="shared" si="71"/>
        <v>-33894</v>
      </c>
      <c r="D299" s="38">
        <f t="shared" si="72"/>
        <v>-21672</v>
      </c>
      <c r="E299" s="38">
        <f t="shared" si="73"/>
        <v>-7168</v>
      </c>
      <c r="F299" s="38">
        <f t="shared" si="74"/>
        <v>4466</v>
      </c>
      <c r="G299" s="38">
        <f t="shared" si="75"/>
        <v>5735</v>
      </c>
      <c r="I299" s="41"/>
      <c r="K299" s="40">
        <f>ROUND(VLOOKUP($A299,'Contribution Allocation_Report'!$A$9:$D$314,4,FALSE)*$K$321,0)</f>
        <v>-45892</v>
      </c>
      <c r="L299" s="40">
        <f>ROUND(VLOOKUP($A299,'Contribution Allocation_Report'!$A$9:$D$314,4,FALSE)*$L$321,0)</f>
        <v>-30941</v>
      </c>
      <c r="M299" s="40">
        <f>ROUND(VLOOKUP($A299,'Contribution Allocation_Report'!$A$9:$D$314,4,FALSE)*$M$321,0)</f>
        <v>-9924</v>
      </c>
      <c r="N299" s="40">
        <f>ROUND(VLOOKUP($A299,'Contribution Allocation_Report'!$A$9:$D$314,4,FALSE)*$N$321,0)</f>
        <v>409</v>
      </c>
      <c r="O299" s="40">
        <f>ROUND(VLOOKUP($A299,'Contribution Allocation_Report'!$A$9:$D$314,4,FALSE)*$O$321,0)</f>
        <v>-1103</v>
      </c>
      <c r="Q299" s="40">
        <f>+VLOOKUP(A299,'Change in Proportion Layers'!$AK$8:$AP$318,2,FALSE)+K299</f>
        <v>-33894</v>
      </c>
      <c r="R299" s="40">
        <f>+VLOOKUP(A299,'Change in Proportion Layers'!$AK$8:$AP$318,3,FALSE)+L299</f>
        <v>-21672</v>
      </c>
      <c r="S299" s="40">
        <f>+VLOOKUP(A299,'Change in Proportion Layers'!$AK$8:$AP$318,4,FALSE)+M299</f>
        <v>-7168</v>
      </c>
      <c r="T299" s="40">
        <f>+VLOOKUP(A299,'Change in Proportion Layers'!$AK$8:$AP$318,5,FALSE)+N299</f>
        <v>4466</v>
      </c>
      <c r="U299" s="40">
        <f>+VLOOKUP(A299,'Change in Proportion Layers'!$AK$8:$AP$318,6,FALSE)+O299</f>
        <v>5735</v>
      </c>
      <c r="W299" s="40">
        <f>('OPEB Amounts_Report'!G299-'OPEB Amounts_Report'!M299)</f>
        <v>-52533</v>
      </c>
      <c r="X299" s="109">
        <f t="shared" si="81"/>
        <v>0</v>
      </c>
    </row>
    <row r="300" spans="1:24">
      <c r="A300" s="22">
        <v>32100</v>
      </c>
      <c r="B300" s="23" t="s">
        <v>279</v>
      </c>
      <c r="C300" s="37">
        <f t="shared" si="71"/>
        <v>-79375</v>
      </c>
      <c r="D300" s="37">
        <f t="shared" si="72"/>
        <v>-67671</v>
      </c>
      <c r="E300" s="37">
        <f t="shared" si="73"/>
        <v>-41071</v>
      </c>
      <c r="F300" s="37">
        <f t="shared" si="74"/>
        <v>-12192</v>
      </c>
      <c r="G300" s="37">
        <f t="shared" si="75"/>
        <v>-2847</v>
      </c>
      <c r="I300" s="41"/>
      <c r="K300" s="40">
        <f>ROUND(VLOOKUP($A300,'Contribution Allocation_Report'!$A$9:$D$314,4,FALSE)*$K$321,0)</f>
        <v>-71877</v>
      </c>
      <c r="L300" s="40">
        <f>ROUND(VLOOKUP($A300,'Contribution Allocation_Report'!$A$9:$D$314,4,FALSE)*$L$321,0)</f>
        <v>-48460</v>
      </c>
      <c r="M300" s="40">
        <f>ROUND(VLOOKUP($A300,'Contribution Allocation_Report'!$A$9:$D$314,4,FALSE)*$M$321,0)</f>
        <v>-15543</v>
      </c>
      <c r="N300" s="40">
        <f>ROUND(VLOOKUP($A300,'Contribution Allocation_Report'!$A$9:$D$314,4,FALSE)*$N$321,0)</f>
        <v>640</v>
      </c>
      <c r="O300" s="40">
        <f>ROUND(VLOOKUP($A300,'Contribution Allocation_Report'!$A$9:$D$314,4,FALSE)*$O$321,0)</f>
        <v>-1727</v>
      </c>
      <c r="Q300" s="40">
        <f>+VLOOKUP(A300,'Change in Proportion Layers'!$AK$8:$AP$318,2,FALSE)+K300</f>
        <v>-79375</v>
      </c>
      <c r="R300" s="40">
        <f>+VLOOKUP(A300,'Change in Proportion Layers'!$AK$8:$AP$318,3,FALSE)+L300</f>
        <v>-67671</v>
      </c>
      <c r="S300" s="40">
        <f>+VLOOKUP(A300,'Change in Proportion Layers'!$AK$8:$AP$318,4,FALSE)+M300</f>
        <v>-41071</v>
      </c>
      <c r="T300" s="40">
        <f>+VLOOKUP(A300,'Change in Proportion Layers'!$AK$8:$AP$318,5,FALSE)+N300</f>
        <v>-12192</v>
      </c>
      <c r="U300" s="40">
        <f>+VLOOKUP(A300,'Change in Proportion Layers'!$AK$8:$AP$318,6,FALSE)+O300-1</f>
        <v>-2847</v>
      </c>
      <c r="W300" s="40">
        <f>('OPEB Amounts_Report'!G300-'OPEB Amounts_Report'!M300)</f>
        <v>-203156</v>
      </c>
      <c r="X300" s="109">
        <f t="shared" si="81"/>
        <v>0</v>
      </c>
    </row>
    <row r="301" spans="1:24">
      <c r="A301" s="24">
        <v>32101</v>
      </c>
      <c r="B301" s="3" t="s">
        <v>280</v>
      </c>
      <c r="C301" s="38">
        <f t="shared" si="71"/>
        <v>-29314</v>
      </c>
      <c r="D301" s="38">
        <f t="shared" si="72"/>
        <v>18485</v>
      </c>
      <c r="E301" s="38">
        <f t="shared" si="73"/>
        <v>-7397</v>
      </c>
      <c r="F301" s="38">
        <f t="shared" si="74"/>
        <v>-10385</v>
      </c>
      <c r="G301" s="38">
        <f t="shared" si="75"/>
        <v>-2572</v>
      </c>
      <c r="I301" s="41"/>
      <c r="K301" s="40">
        <f>ROUND(VLOOKUP($A301,'Contribution Allocation_Report'!$A$9:$D$314,4,FALSE)*$K$321,0)</f>
        <v>-23728</v>
      </c>
      <c r="L301" s="40">
        <f>ROUND(VLOOKUP($A301,'Contribution Allocation_Report'!$A$9:$D$314,4,FALSE)*$L$321,0)</f>
        <v>-15997</v>
      </c>
      <c r="M301" s="40">
        <f>ROUND(VLOOKUP($A301,'Contribution Allocation_Report'!$A$9:$D$314,4,FALSE)*$M$321,0)</f>
        <v>-5131</v>
      </c>
      <c r="N301" s="40">
        <f>ROUND(VLOOKUP($A301,'Contribution Allocation_Report'!$A$9:$D$314,4,FALSE)*$N$321,0)</f>
        <v>211</v>
      </c>
      <c r="O301" s="40">
        <f>ROUND(VLOOKUP($A301,'Contribution Allocation_Report'!$A$9:$D$314,4,FALSE)*$O$321,0)</f>
        <v>-570</v>
      </c>
      <c r="Q301" s="40">
        <f>+VLOOKUP(A301,'Change in Proportion Layers'!$AK$8:$AP$318,2,FALSE)+K301</f>
        <v>-29314</v>
      </c>
      <c r="R301" s="40">
        <f>+VLOOKUP(A301,'Change in Proportion Layers'!$AK$8:$AP$318,3,FALSE)+L301</f>
        <v>18485</v>
      </c>
      <c r="S301" s="40">
        <f>+VLOOKUP(A301,'Change in Proportion Layers'!$AK$8:$AP$318,4,FALSE)+M301</f>
        <v>-7397</v>
      </c>
      <c r="T301" s="40">
        <f>+VLOOKUP(A301,'Change in Proportion Layers'!$AK$8:$AP$318,5,FALSE)+N301</f>
        <v>-10385</v>
      </c>
      <c r="U301" s="40">
        <f>+VLOOKUP(A301,'Change in Proportion Layers'!$AK$8:$AP$318,6,FALSE)+O301</f>
        <v>-2572</v>
      </c>
      <c r="W301" s="40">
        <f>('OPEB Amounts_Report'!G301-'OPEB Amounts_Report'!M301)</f>
        <v>-31183</v>
      </c>
      <c r="X301" s="109">
        <f t="shared" si="81"/>
        <v>0</v>
      </c>
    </row>
    <row r="302" spans="1:24">
      <c r="A302" s="22">
        <v>32102</v>
      </c>
      <c r="B302" s="23" t="s">
        <v>281</v>
      </c>
      <c r="C302" s="37">
        <f t="shared" si="71"/>
        <v>-52016</v>
      </c>
      <c r="D302" s="37">
        <f t="shared" si="72"/>
        <v>-40410</v>
      </c>
      <c r="E302" s="37">
        <f t="shared" si="73"/>
        <v>-14562</v>
      </c>
      <c r="F302" s="37">
        <f t="shared" si="74"/>
        <v>1960</v>
      </c>
      <c r="G302" s="37">
        <f t="shared" si="75"/>
        <v>2047</v>
      </c>
      <c r="I302" s="41"/>
      <c r="K302" s="40">
        <f>ROUND(VLOOKUP($A302,'Contribution Allocation_Report'!$A$9:$D$314,4,FALSE)*$K$321,0)</f>
        <v>-45805</v>
      </c>
      <c r="L302" s="40">
        <f>ROUND(VLOOKUP($A302,'Contribution Allocation_Report'!$A$9:$D$314,4,FALSE)*$L$321,0)</f>
        <v>-30882</v>
      </c>
      <c r="M302" s="40">
        <f>ROUND(VLOOKUP($A302,'Contribution Allocation_Report'!$A$9:$D$314,4,FALSE)*$M$321,0)</f>
        <v>-9905</v>
      </c>
      <c r="N302" s="40">
        <f>ROUND(VLOOKUP($A302,'Contribution Allocation_Report'!$A$9:$D$314,4,FALSE)*$N$321,0)</f>
        <v>408</v>
      </c>
      <c r="O302" s="40">
        <f>ROUND(VLOOKUP($A302,'Contribution Allocation_Report'!$A$9:$D$314,4,FALSE)*$O$321,0)</f>
        <v>-1101</v>
      </c>
      <c r="Q302" s="40">
        <f>+VLOOKUP(A302,'Change in Proportion Layers'!$AK$8:$AP$318,2,FALSE)+K302</f>
        <v>-52016</v>
      </c>
      <c r="R302" s="40">
        <f>+VLOOKUP(A302,'Change in Proportion Layers'!$AK$8:$AP$318,3,FALSE)+L302</f>
        <v>-40410</v>
      </c>
      <c r="S302" s="40">
        <f>+VLOOKUP(A302,'Change in Proportion Layers'!$AK$8:$AP$318,4,FALSE)+M302</f>
        <v>-14562</v>
      </c>
      <c r="T302" s="40">
        <f>+VLOOKUP(A302,'Change in Proportion Layers'!$AK$8:$AP$318,5,FALSE)+N302</f>
        <v>1960</v>
      </c>
      <c r="U302" s="40">
        <f>+VLOOKUP(A302,'Change in Proportion Layers'!$AK$8:$AP$318,6,FALSE)+O302-1</f>
        <v>2047</v>
      </c>
      <c r="W302" s="40">
        <f>('OPEB Amounts_Report'!G302-'OPEB Amounts_Report'!M302)</f>
        <v>-102981</v>
      </c>
      <c r="X302" s="109">
        <f t="shared" si="81"/>
        <v>0</v>
      </c>
    </row>
    <row r="303" spans="1:24">
      <c r="A303" s="24">
        <v>2880</v>
      </c>
      <c r="B303" s="3" t="s">
        <v>282</v>
      </c>
      <c r="C303" s="38">
        <f t="shared" ref="C303:C314" si="82">+Q303</f>
        <v>-14704</v>
      </c>
      <c r="D303" s="38">
        <f t="shared" ref="D303:D315" si="83">+R303</f>
        <v>-15683</v>
      </c>
      <c r="E303" s="38">
        <f t="shared" ref="E303:E315" si="84">+S303</f>
        <v>-5983</v>
      </c>
      <c r="F303" s="38">
        <f t="shared" ref="F303:F315" si="85">+T303</f>
        <v>-3152</v>
      </c>
      <c r="G303" s="38">
        <f t="shared" ref="G303:G315" si="86">+U303</f>
        <v>-2929</v>
      </c>
      <c r="I303" s="41"/>
      <c r="K303" s="40">
        <f>ROUND(VLOOKUP($A303,'Contribution Allocation_Report'!$A$9:$D$314,4,FALSE)*$K$321,0)</f>
        <v>-11691</v>
      </c>
      <c r="L303" s="40">
        <f>ROUND(VLOOKUP($A303,'Contribution Allocation_Report'!$A$9:$D$314,4,FALSE)*$L$321,0)</f>
        <v>-7882</v>
      </c>
      <c r="M303" s="40">
        <f>ROUND(VLOOKUP($A303,'Contribution Allocation_Report'!$A$9:$D$314,4,FALSE)*$M$321,0)</f>
        <v>-2528</v>
      </c>
      <c r="N303" s="40">
        <f>ROUND(VLOOKUP($A303,'Contribution Allocation_Report'!$A$9:$D$314,4,FALSE)*$N$321,0)</f>
        <v>104</v>
      </c>
      <c r="O303" s="40">
        <f>ROUND(VLOOKUP($A303,'Contribution Allocation_Report'!$A$9:$D$314,4,FALSE)*$O$321,0)</f>
        <v>-281</v>
      </c>
      <c r="Q303" s="40">
        <f>+VLOOKUP(A303,'Change in Proportion Layers'!$AK$8:$AP$318,2,FALSE)+K303</f>
        <v>-14704</v>
      </c>
      <c r="R303" s="40">
        <f>+VLOOKUP(A303,'Change in Proportion Layers'!$AK$8:$AP$318,3,FALSE)+L303</f>
        <v>-15683</v>
      </c>
      <c r="S303" s="40">
        <f>+VLOOKUP(A303,'Change in Proportion Layers'!$AK$8:$AP$318,4,FALSE)+M303</f>
        <v>-5983</v>
      </c>
      <c r="T303" s="40">
        <f>+VLOOKUP(A303,'Change in Proportion Layers'!$AK$8:$AP$318,5,FALSE)+N303</f>
        <v>-3152</v>
      </c>
      <c r="U303" s="40">
        <f>+VLOOKUP(A303,'Change in Proportion Layers'!$AK$8:$AP$318,6,FALSE)+O303-1</f>
        <v>-2929</v>
      </c>
      <c r="W303" s="40">
        <f>('OPEB Amounts_Report'!G303-'OPEB Amounts_Report'!M303)</f>
        <v>-42451</v>
      </c>
      <c r="X303" s="109">
        <f t="shared" si="81"/>
        <v>0</v>
      </c>
    </row>
    <row r="304" spans="1:24">
      <c r="A304" s="22">
        <v>2490</v>
      </c>
      <c r="B304" s="23" t="s">
        <v>283</v>
      </c>
      <c r="C304" s="37">
        <f t="shared" si="82"/>
        <v>-110162</v>
      </c>
      <c r="D304" s="37">
        <f t="shared" si="83"/>
        <v>-69498</v>
      </c>
      <c r="E304" s="37">
        <f t="shared" si="84"/>
        <v>-1443</v>
      </c>
      <c r="F304" s="37">
        <f t="shared" si="85"/>
        <v>14369</v>
      </c>
      <c r="G304" s="37">
        <f t="shared" si="86"/>
        <v>5294</v>
      </c>
      <c r="I304" s="41"/>
      <c r="K304" s="40">
        <f>ROUND(VLOOKUP($A304,'Contribution Allocation_Report'!$A$9:$D$314,4,FALSE)*$K$321,0)</f>
        <v>-128927</v>
      </c>
      <c r="L304" s="40">
        <f>ROUND(VLOOKUP($A304,'Contribution Allocation_Report'!$A$9:$D$314,4,FALSE)*$L$321,0)</f>
        <v>-86923</v>
      </c>
      <c r="M304" s="40">
        <f>ROUND(VLOOKUP($A304,'Contribution Allocation_Report'!$A$9:$D$314,4,FALSE)*$M$321,0)</f>
        <v>-27881</v>
      </c>
      <c r="N304" s="40">
        <f>ROUND(VLOOKUP($A304,'Contribution Allocation_Report'!$A$9:$D$314,4,FALSE)*$N$321,0)</f>
        <v>1148</v>
      </c>
      <c r="O304" s="40">
        <f>ROUND(VLOOKUP($A304,'Contribution Allocation_Report'!$A$9:$D$314,4,FALSE)*$O$321,0)</f>
        <v>-3098</v>
      </c>
      <c r="Q304" s="40">
        <f>+VLOOKUP(A304,'Change in Proportion Layers'!$AK$8:$AP$318,2,FALSE)+K304</f>
        <v>-110162</v>
      </c>
      <c r="R304" s="40">
        <f>+VLOOKUP(A304,'Change in Proportion Layers'!$AK$8:$AP$318,3,FALSE)+L304</f>
        <v>-69498</v>
      </c>
      <c r="S304" s="40">
        <f>+VLOOKUP(A304,'Change in Proportion Layers'!$AK$8:$AP$318,4,FALSE)+M304</f>
        <v>-1443</v>
      </c>
      <c r="T304" s="40">
        <f>+VLOOKUP(A304,'Change in Proportion Layers'!$AK$8:$AP$318,5,FALSE)+N304</f>
        <v>14369</v>
      </c>
      <c r="U304" s="40">
        <f>+VLOOKUP(A304,'Change in Proportion Layers'!$AK$8:$AP$318,6,FALSE)+O304+1</f>
        <v>5294</v>
      </c>
      <c r="W304" s="40">
        <f>('OPEB Amounts_Report'!G304-'OPEB Amounts_Report'!M304)</f>
        <v>-161440</v>
      </c>
      <c r="X304" s="109">
        <f t="shared" si="81"/>
        <v>0</v>
      </c>
    </row>
    <row r="305" spans="1:24">
      <c r="A305" s="24">
        <v>2530</v>
      </c>
      <c r="B305" s="3" t="s">
        <v>284</v>
      </c>
      <c r="C305" s="38">
        <f t="shared" si="82"/>
        <v>-35684</v>
      </c>
      <c r="D305" s="38">
        <f t="shared" si="83"/>
        <v>3485</v>
      </c>
      <c r="E305" s="38">
        <f t="shared" si="84"/>
        <v>-1863</v>
      </c>
      <c r="F305" s="38">
        <f t="shared" si="85"/>
        <v>8076</v>
      </c>
      <c r="G305" s="38">
        <f t="shared" si="86"/>
        <v>3908</v>
      </c>
      <c r="I305" s="41"/>
      <c r="K305" s="40">
        <f>ROUND(VLOOKUP($A305,'Contribution Allocation_Report'!$A$9:$D$314,4,FALSE)*$K$321,0)</f>
        <v>-27650</v>
      </c>
      <c r="L305" s="40">
        <f>ROUND(VLOOKUP($A305,'Contribution Allocation_Report'!$A$9:$D$314,4,FALSE)*$L$321,0)</f>
        <v>-18642</v>
      </c>
      <c r="M305" s="40">
        <f>ROUND(VLOOKUP($A305,'Contribution Allocation_Report'!$A$9:$D$314,4,FALSE)*$M$321,0)</f>
        <v>-5979</v>
      </c>
      <c r="N305" s="40">
        <f>ROUND(VLOOKUP($A305,'Contribution Allocation_Report'!$A$9:$D$314,4,FALSE)*$N$321,0)</f>
        <v>246</v>
      </c>
      <c r="O305" s="40">
        <f>ROUND(VLOOKUP($A305,'Contribution Allocation_Report'!$A$9:$D$314,4,FALSE)*$O$321,0)</f>
        <v>-664</v>
      </c>
      <c r="Q305" s="40">
        <f>+VLOOKUP(A305,'Change in Proportion Layers'!$AK$8:$AP$318,2,FALSE)+K305</f>
        <v>-35684</v>
      </c>
      <c r="R305" s="40">
        <f>+VLOOKUP(A305,'Change in Proportion Layers'!$AK$8:$AP$318,3,FALSE)+L305</f>
        <v>3485</v>
      </c>
      <c r="S305" s="40">
        <f>+VLOOKUP(A305,'Change in Proportion Layers'!$AK$8:$AP$318,4,FALSE)+M305</f>
        <v>-1863</v>
      </c>
      <c r="T305" s="40">
        <f>+VLOOKUP(A305,'Change in Proportion Layers'!$AK$8:$AP$318,5,FALSE)+N305</f>
        <v>8076</v>
      </c>
      <c r="U305" s="40">
        <f>+VLOOKUP(A305,'Change in Proportion Layers'!$AK$8:$AP$318,6,FALSE)+O305</f>
        <v>3908</v>
      </c>
      <c r="W305" s="40">
        <f>('OPEB Amounts_Report'!G305-'OPEB Amounts_Report'!M305)</f>
        <v>-22078</v>
      </c>
      <c r="X305" s="109">
        <f t="shared" si="81"/>
        <v>0</v>
      </c>
    </row>
    <row r="306" spans="1:24">
      <c r="A306" s="22">
        <v>2560</v>
      </c>
      <c r="B306" s="23" t="s">
        <v>285</v>
      </c>
      <c r="C306" s="37">
        <f t="shared" si="82"/>
        <v>-42205</v>
      </c>
      <c r="D306" s="37">
        <f t="shared" si="83"/>
        <v>-3981</v>
      </c>
      <c r="E306" s="37">
        <f t="shared" si="84"/>
        <v>21794</v>
      </c>
      <c r="F306" s="37">
        <f t="shared" si="85"/>
        <v>20006</v>
      </c>
      <c r="G306" s="37">
        <f t="shared" si="86"/>
        <v>-954</v>
      </c>
      <c r="I306" s="41"/>
      <c r="K306" s="40">
        <f>ROUND(VLOOKUP($A306,'Contribution Allocation_Report'!$A$9:$D$314,4,FALSE)*$K$321,0)</f>
        <v>-64000</v>
      </c>
      <c r="L306" s="40">
        <f>ROUND(VLOOKUP($A306,'Contribution Allocation_Report'!$A$9:$D$314,4,FALSE)*$L$321,0)</f>
        <v>-43149</v>
      </c>
      <c r="M306" s="40">
        <f>ROUND(VLOOKUP($A306,'Contribution Allocation_Report'!$A$9:$D$314,4,FALSE)*$M$321,0)</f>
        <v>-13840</v>
      </c>
      <c r="N306" s="40">
        <f>ROUND(VLOOKUP($A306,'Contribution Allocation_Report'!$A$9:$D$314,4,FALSE)*$N$321,0)</f>
        <v>570</v>
      </c>
      <c r="O306" s="40">
        <f>ROUND(VLOOKUP($A306,'Contribution Allocation_Report'!$A$9:$D$314,4,FALSE)*$O$321,0)</f>
        <v>-1538</v>
      </c>
      <c r="Q306" s="40">
        <f>+VLOOKUP(A306,'Change in Proportion Layers'!$AK$8:$AP$318,2,FALSE)+K306</f>
        <v>-42205</v>
      </c>
      <c r="R306" s="40">
        <f>+VLOOKUP(A306,'Change in Proportion Layers'!$AK$8:$AP$318,3,FALSE)+L306</f>
        <v>-3981</v>
      </c>
      <c r="S306" s="40">
        <f>+VLOOKUP(A306,'Change in Proportion Layers'!$AK$8:$AP$318,4,FALSE)+M306</f>
        <v>21794</v>
      </c>
      <c r="T306" s="40">
        <f>+VLOOKUP(A306,'Change in Proportion Layers'!$AK$8:$AP$318,5,FALSE)+N306</f>
        <v>20006</v>
      </c>
      <c r="U306" s="40">
        <f>+VLOOKUP(A306,'Change in Proportion Layers'!$AK$8:$AP$318,6,FALSE)+O306+1</f>
        <v>-954</v>
      </c>
      <c r="W306" s="40">
        <f>('OPEB Amounts_Report'!G306-'OPEB Amounts_Report'!M306)</f>
        <v>-5340</v>
      </c>
      <c r="X306" s="109">
        <f t="shared" si="81"/>
        <v>0</v>
      </c>
    </row>
    <row r="307" spans="1:24">
      <c r="A307" s="24">
        <v>2610</v>
      </c>
      <c r="B307" s="3" t="s">
        <v>286</v>
      </c>
      <c r="C307" s="38">
        <f t="shared" si="82"/>
        <v>-14516</v>
      </c>
      <c r="D307" s="38">
        <f t="shared" si="83"/>
        <v>-10657</v>
      </c>
      <c r="E307" s="38">
        <f t="shared" si="84"/>
        <v>-1538</v>
      </c>
      <c r="F307" s="38">
        <f t="shared" si="85"/>
        <v>-145</v>
      </c>
      <c r="G307" s="38">
        <f t="shared" si="86"/>
        <v>-7</v>
      </c>
      <c r="I307" s="41"/>
      <c r="K307" s="40">
        <f>ROUND(VLOOKUP($A307,'Contribution Allocation_Report'!$A$9:$D$314,4,FALSE)*$K$321,0)</f>
        <v>-12982</v>
      </c>
      <c r="L307" s="40">
        <f>ROUND(VLOOKUP($A307,'Contribution Allocation_Report'!$A$9:$D$314,4,FALSE)*$L$321,0)</f>
        <v>-8752</v>
      </c>
      <c r="M307" s="40">
        <f>ROUND(VLOOKUP($A307,'Contribution Allocation_Report'!$A$9:$D$314,4,FALSE)*$M$321,0)</f>
        <v>-2807</v>
      </c>
      <c r="N307" s="40">
        <f>ROUND(VLOOKUP($A307,'Contribution Allocation_Report'!$A$9:$D$314,4,FALSE)*$N$321,0)</f>
        <v>116</v>
      </c>
      <c r="O307" s="40">
        <f>ROUND(VLOOKUP($A307,'Contribution Allocation_Report'!$A$9:$D$314,4,FALSE)*$O$321,0)</f>
        <v>-312</v>
      </c>
      <c r="Q307" s="40">
        <f>+VLOOKUP(A307,'Change in Proportion Layers'!$AK$8:$AP$318,2,FALSE)+K307</f>
        <v>-14516</v>
      </c>
      <c r="R307" s="40">
        <f>+VLOOKUP(A307,'Change in Proportion Layers'!$AK$8:$AP$318,3,FALSE)+L307</f>
        <v>-10657</v>
      </c>
      <c r="S307" s="40">
        <f>+VLOOKUP(A307,'Change in Proportion Layers'!$AK$8:$AP$318,4,FALSE)+M307</f>
        <v>-1538</v>
      </c>
      <c r="T307" s="40">
        <f>+VLOOKUP(A307,'Change in Proportion Layers'!$AK$8:$AP$318,5,FALSE)+N307</f>
        <v>-145</v>
      </c>
      <c r="U307" s="40">
        <f>+VLOOKUP(A307,'Change in Proportion Layers'!$AK$8:$AP$318,6,FALSE)+O307</f>
        <v>-7</v>
      </c>
      <c r="W307" s="40">
        <f>('OPEB Amounts_Report'!G307-'OPEB Amounts_Report'!M307)</f>
        <v>-26863</v>
      </c>
      <c r="X307" s="109">
        <f t="shared" si="81"/>
        <v>0</v>
      </c>
    </row>
    <row r="308" spans="1:24">
      <c r="A308" s="22">
        <v>2800</v>
      </c>
      <c r="B308" s="23" t="s">
        <v>287</v>
      </c>
      <c r="C308" s="37">
        <f t="shared" si="82"/>
        <v>-30518</v>
      </c>
      <c r="D308" s="37">
        <f t="shared" si="83"/>
        <v>-22628</v>
      </c>
      <c r="E308" s="37">
        <f t="shared" si="84"/>
        <v>-9950</v>
      </c>
      <c r="F308" s="37">
        <f t="shared" si="85"/>
        <v>-7636</v>
      </c>
      <c r="G308" s="37">
        <f t="shared" si="86"/>
        <v>-3502</v>
      </c>
      <c r="I308" s="41"/>
      <c r="K308" s="40">
        <f>ROUND(VLOOKUP($A308,'Contribution Allocation_Report'!$A$9:$D$314,4,FALSE)*$K$321,0)</f>
        <v>-34867</v>
      </c>
      <c r="L308" s="40">
        <f>ROUND(VLOOKUP($A308,'Contribution Allocation_Report'!$A$9:$D$314,4,FALSE)*$L$321,0)</f>
        <v>-23508</v>
      </c>
      <c r="M308" s="40">
        <f>ROUND(VLOOKUP($A308,'Contribution Allocation_Report'!$A$9:$D$314,4,FALSE)*$M$321,0)</f>
        <v>-7540</v>
      </c>
      <c r="N308" s="40">
        <f>ROUND(VLOOKUP($A308,'Contribution Allocation_Report'!$A$9:$D$314,4,FALSE)*$N$321,0)</f>
        <v>310</v>
      </c>
      <c r="O308" s="40">
        <f>ROUND(VLOOKUP($A308,'Contribution Allocation_Report'!$A$9:$D$314,4,FALSE)*$O$321,0)</f>
        <v>-838</v>
      </c>
      <c r="Q308" s="40">
        <f>+VLOOKUP(A308,'Change in Proportion Layers'!$AK$8:$AP$318,2,FALSE)+K308</f>
        <v>-30518</v>
      </c>
      <c r="R308" s="40">
        <f>+VLOOKUP(A308,'Change in Proportion Layers'!$AK$8:$AP$318,3,FALSE)+L308</f>
        <v>-22628</v>
      </c>
      <c r="S308" s="40">
        <f>+VLOOKUP(A308,'Change in Proportion Layers'!$AK$8:$AP$318,4,FALSE)+M308</f>
        <v>-9950</v>
      </c>
      <c r="T308" s="40">
        <f>+VLOOKUP(A308,'Change in Proportion Layers'!$AK$8:$AP$318,5,FALSE)+N308</f>
        <v>-7636</v>
      </c>
      <c r="U308" s="40">
        <f>+VLOOKUP(A308,'Change in Proportion Layers'!$AK$8:$AP$318,6,FALSE)+O308</f>
        <v>-3502</v>
      </c>
      <c r="W308" s="40">
        <f>('OPEB Amounts_Report'!G308-'OPEB Amounts_Report'!M308)</f>
        <v>-74234</v>
      </c>
      <c r="X308" s="109">
        <f t="shared" si="81"/>
        <v>0</v>
      </c>
    </row>
    <row r="309" spans="1:24">
      <c r="A309" s="24">
        <v>20317</v>
      </c>
      <c r="B309" s="3" t="s">
        <v>288</v>
      </c>
      <c r="C309" s="38">
        <f t="shared" si="82"/>
        <v>-79232</v>
      </c>
      <c r="D309" s="38">
        <f t="shared" si="83"/>
        <v>-33076</v>
      </c>
      <c r="E309" s="38">
        <f t="shared" si="84"/>
        <v>-31287</v>
      </c>
      <c r="F309" s="38">
        <f t="shared" si="85"/>
        <v>-20411</v>
      </c>
      <c r="G309" s="38">
        <f t="shared" si="86"/>
        <v>-3289</v>
      </c>
      <c r="I309" s="41"/>
      <c r="K309" s="40">
        <f>ROUND(VLOOKUP($A309,'Contribution Allocation_Report'!$A$9:$D$314,4,FALSE)*$K$321,0)</f>
        <v>-60966</v>
      </c>
      <c r="L309" s="40">
        <f>ROUND(VLOOKUP($A309,'Contribution Allocation_Report'!$A$9:$D$314,4,FALSE)*$L$321,0)</f>
        <v>-41103</v>
      </c>
      <c r="M309" s="40">
        <f>ROUND(VLOOKUP($A309,'Contribution Allocation_Report'!$A$9:$D$314,4,FALSE)*$M$321,0)</f>
        <v>-13184</v>
      </c>
      <c r="N309" s="40">
        <f>ROUND(VLOOKUP($A309,'Contribution Allocation_Report'!$A$9:$D$314,4,FALSE)*$N$321,0)</f>
        <v>543</v>
      </c>
      <c r="O309" s="40">
        <f>ROUND(VLOOKUP($A309,'Contribution Allocation_Report'!$A$9:$D$314,4,FALSE)*$O$321,0)</f>
        <v>-1465</v>
      </c>
      <c r="Q309" s="40">
        <f>+VLOOKUP(A309,'Change in Proportion Layers'!$AK$8:$AP$318,2,FALSE)+K309</f>
        <v>-79232</v>
      </c>
      <c r="R309" s="40">
        <f>+VLOOKUP(A309,'Change in Proportion Layers'!$AK$8:$AP$318,3,FALSE)+L309</f>
        <v>-33076</v>
      </c>
      <c r="S309" s="40">
        <f>+VLOOKUP(A309,'Change in Proportion Layers'!$AK$8:$AP$318,4,FALSE)+M309</f>
        <v>-31287</v>
      </c>
      <c r="T309" s="40">
        <f>+VLOOKUP(A309,'Change in Proportion Layers'!$AK$8:$AP$318,5,FALSE)+N309</f>
        <v>-20411</v>
      </c>
      <c r="U309" s="40">
        <f>+VLOOKUP(A309,'Change in Proportion Layers'!$AK$8:$AP$318,6,FALSE)+O309</f>
        <v>-3289</v>
      </c>
      <c r="W309" s="40">
        <f>('OPEB Amounts_Report'!G309-'OPEB Amounts_Report'!M309)</f>
        <v>-167295</v>
      </c>
      <c r="X309" s="109">
        <f t="shared" si="81"/>
        <v>0</v>
      </c>
    </row>
    <row r="310" spans="1:24">
      <c r="A310" s="22">
        <v>2442</v>
      </c>
      <c r="B310" s="23" t="s">
        <v>415</v>
      </c>
      <c r="C310" s="37">
        <f t="shared" ref="C310" si="87">+Q310</f>
        <v>38206</v>
      </c>
      <c r="D310" s="37">
        <f t="shared" ref="D310" si="88">+R310</f>
        <v>45767</v>
      </c>
      <c r="E310" s="37">
        <f t="shared" ref="E310" si="89">+S310</f>
        <v>49589</v>
      </c>
      <c r="F310" s="37">
        <f t="shared" ref="F310" si="90">+T310</f>
        <v>45945</v>
      </c>
      <c r="G310" s="37">
        <f t="shared" ref="G310" si="91">+U310</f>
        <v>12353</v>
      </c>
      <c r="I310" s="41"/>
      <c r="K310" s="40">
        <f>ROUND(VLOOKUP($A310,'Contribution Allocation_Report'!$A$9:$D$314,4,FALSE)*$K$321,0)</f>
        <v>-74323</v>
      </c>
      <c r="L310" s="40">
        <f>ROUND(VLOOKUP($A310,'Contribution Allocation_Report'!$A$9:$D$314,4,FALSE)*$L$321,0)</f>
        <v>-50109</v>
      </c>
      <c r="M310" s="40">
        <f>ROUND(VLOOKUP($A310,'Contribution Allocation_Report'!$A$9:$D$314,4,FALSE)*$M$321,0)</f>
        <v>-16072</v>
      </c>
      <c r="N310" s="40">
        <f>ROUND(VLOOKUP($A310,'Contribution Allocation_Report'!$A$9:$D$314,4,FALSE)*$N$321,0)</f>
        <v>662</v>
      </c>
      <c r="O310" s="40">
        <f>ROUND(VLOOKUP($A310,'Contribution Allocation_Report'!$A$9:$D$314,4,FALSE)*$O$321,0)</f>
        <v>-1786</v>
      </c>
      <c r="Q310" s="40">
        <f>+VLOOKUP(A310,'Change in Proportion Layers'!$AK$8:$AP$318,2,FALSE)+K310</f>
        <v>38206</v>
      </c>
      <c r="R310" s="40">
        <f>+VLOOKUP(A310,'Change in Proportion Layers'!$AK$8:$AP$318,3,FALSE)+L310</f>
        <v>45767</v>
      </c>
      <c r="S310" s="40">
        <f>+VLOOKUP(A310,'Change in Proportion Layers'!$AK$8:$AP$318,4,FALSE)+M310</f>
        <v>49589</v>
      </c>
      <c r="T310" s="40">
        <f>+VLOOKUP(A310,'Change in Proportion Layers'!$AK$8:$AP$318,5,FALSE)+N310</f>
        <v>45945</v>
      </c>
      <c r="U310" s="40">
        <f>+VLOOKUP(A310,'Change in Proportion Layers'!$AK$8:$AP$318,6,FALSE)+O310</f>
        <v>12353</v>
      </c>
      <c r="W310" s="40">
        <f>('OPEB Amounts_Report'!G310-'OPEB Amounts_Report'!M310)</f>
        <v>191860</v>
      </c>
      <c r="X310" s="109">
        <f t="shared" si="81"/>
        <v>0</v>
      </c>
    </row>
    <row r="311" spans="1:24">
      <c r="A311" s="24">
        <v>30090</v>
      </c>
      <c r="B311" s="3" t="s">
        <v>289</v>
      </c>
      <c r="C311" s="38">
        <f t="shared" si="82"/>
        <v>-116835</v>
      </c>
      <c r="D311" s="38">
        <f t="shared" si="83"/>
        <v>-112902</v>
      </c>
      <c r="E311" s="38">
        <f t="shared" si="84"/>
        <v>-39361</v>
      </c>
      <c r="F311" s="38">
        <f t="shared" si="85"/>
        <v>-31380</v>
      </c>
      <c r="G311" s="38">
        <f t="shared" si="86"/>
        <v>-20707</v>
      </c>
      <c r="I311" s="41"/>
      <c r="K311" s="40">
        <f>ROUND(VLOOKUP($A311,'Contribution Allocation_Report'!$A$9:$D$314,4,FALSE)*$K$321,0)</f>
        <v>-93126</v>
      </c>
      <c r="L311" s="40">
        <f>ROUND(VLOOKUP($A311,'Contribution Allocation_Report'!$A$9:$D$314,4,FALSE)*$L$321,0)</f>
        <v>-62786</v>
      </c>
      <c r="M311" s="40">
        <f>ROUND(VLOOKUP($A311,'Contribution Allocation_Report'!$A$9:$D$314,4,FALSE)*$M$321,0)</f>
        <v>-20139</v>
      </c>
      <c r="N311" s="40">
        <f>ROUND(VLOOKUP($A311,'Contribution Allocation_Report'!$A$9:$D$314,4,FALSE)*$N$321,0)</f>
        <v>829</v>
      </c>
      <c r="O311" s="40">
        <f>ROUND(VLOOKUP($A311,'Contribution Allocation_Report'!$A$9:$D$314,4,FALSE)*$O$321,0)</f>
        <v>-2237</v>
      </c>
      <c r="Q311" s="40">
        <f>+VLOOKUP(A311,'Change in Proportion Layers'!$AK$8:$AP$318,2,FALSE)+K311</f>
        <v>-116835</v>
      </c>
      <c r="R311" s="40">
        <f>+VLOOKUP(A311,'Change in Proportion Layers'!$AK$8:$AP$318,3,FALSE)+L311</f>
        <v>-112902</v>
      </c>
      <c r="S311" s="40">
        <f>+VLOOKUP(A311,'Change in Proportion Layers'!$AK$8:$AP$318,4,FALSE)+M311</f>
        <v>-39361</v>
      </c>
      <c r="T311" s="40">
        <f>+VLOOKUP(A311,'Change in Proportion Layers'!$AK$8:$AP$318,5,FALSE)+N311</f>
        <v>-31380</v>
      </c>
      <c r="U311" s="40">
        <f>+VLOOKUP(A311,'Change in Proportion Layers'!$AK$8:$AP$318,6,FALSE)+O311-1</f>
        <v>-20707</v>
      </c>
      <c r="W311" s="40">
        <f>('OPEB Amounts_Report'!G311-'OPEB Amounts_Report'!M311)</f>
        <v>-321185</v>
      </c>
      <c r="X311" s="109">
        <f t="shared" si="81"/>
        <v>0</v>
      </c>
    </row>
    <row r="312" spans="1:24">
      <c r="A312" s="22">
        <v>29330</v>
      </c>
      <c r="B312" s="23" t="s">
        <v>290</v>
      </c>
      <c r="C312" s="37">
        <f t="shared" si="82"/>
        <v>-50410</v>
      </c>
      <c r="D312" s="37">
        <f t="shared" si="83"/>
        <v>-22861</v>
      </c>
      <c r="E312" s="37">
        <f t="shared" si="84"/>
        <v>-358</v>
      </c>
      <c r="F312" s="37">
        <f t="shared" si="85"/>
        <v>1504</v>
      </c>
      <c r="G312" s="37">
        <f t="shared" si="86"/>
        <v>-2520</v>
      </c>
      <c r="I312" s="41"/>
      <c r="K312" s="40">
        <f>ROUND(VLOOKUP($A312,'Contribution Allocation_Report'!$A$9:$D$314,4,FALSE)*$K$321,0)</f>
        <v>-55621</v>
      </c>
      <c r="L312" s="40">
        <f>ROUND(VLOOKUP($A312,'Contribution Allocation_Report'!$A$9:$D$314,4,FALSE)*$L$321,0)</f>
        <v>-37500</v>
      </c>
      <c r="M312" s="40">
        <f>ROUND(VLOOKUP($A312,'Contribution Allocation_Report'!$A$9:$D$314,4,FALSE)*$M$321,0)</f>
        <v>-12028</v>
      </c>
      <c r="N312" s="40">
        <f>ROUND(VLOOKUP($A312,'Contribution Allocation_Report'!$A$9:$D$314,4,FALSE)*$N$321,0)</f>
        <v>495</v>
      </c>
      <c r="O312" s="40">
        <f>ROUND(VLOOKUP($A312,'Contribution Allocation_Report'!$A$9:$D$314,4,FALSE)*$O$321,0)</f>
        <v>-1336</v>
      </c>
      <c r="Q312" s="40">
        <f>+VLOOKUP(A312,'Change in Proportion Layers'!$AK$8:$AP$318,2,FALSE)+K312</f>
        <v>-50410</v>
      </c>
      <c r="R312" s="40">
        <f>+VLOOKUP(A312,'Change in Proportion Layers'!$AK$8:$AP$318,3,FALSE)+L312</f>
        <v>-22861</v>
      </c>
      <c r="S312" s="40">
        <f>+VLOOKUP(A312,'Change in Proportion Layers'!$AK$8:$AP$318,4,FALSE)+M312</f>
        <v>-358</v>
      </c>
      <c r="T312" s="40">
        <f>+VLOOKUP(A312,'Change in Proportion Layers'!$AK$8:$AP$318,5,FALSE)+N312</f>
        <v>1504</v>
      </c>
      <c r="U312" s="40">
        <f>+VLOOKUP(A312,'Change in Proportion Layers'!$AK$8:$AP$318,6,FALSE)+O312</f>
        <v>-2520</v>
      </c>
      <c r="W312" s="40">
        <f>('OPEB Amounts_Report'!G312-'OPEB Amounts_Report'!M312)</f>
        <v>-74645</v>
      </c>
      <c r="X312" s="109">
        <f t="shared" si="81"/>
        <v>0</v>
      </c>
    </row>
    <row r="313" spans="1:24">
      <c r="A313" s="24">
        <v>12038</v>
      </c>
      <c r="B313" s="3" t="s">
        <v>291</v>
      </c>
      <c r="C313" s="38">
        <f t="shared" si="82"/>
        <v>-910792</v>
      </c>
      <c r="D313" s="38">
        <f t="shared" si="83"/>
        <v>-745187</v>
      </c>
      <c r="E313" s="38">
        <f t="shared" si="84"/>
        <v>-341505</v>
      </c>
      <c r="F313" s="38">
        <f t="shared" si="85"/>
        <v>-125085</v>
      </c>
      <c r="G313" s="38">
        <f t="shared" si="86"/>
        <v>-74780</v>
      </c>
      <c r="I313" s="41"/>
      <c r="K313" s="40">
        <f>ROUND(VLOOKUP($A313,'Contribution Allocation_Report'!$A$9:$D$314,4,FALSE)*$K$321,0)</f>
        <v>-904209</v>
      </c>
      <c r="L313" s="40">
        <f>ROUND(VLOOKUP($A313,'Contribution Allocation_Report'!$A$9:$D$314,4,FALSE)*$L$321,0)</f>
        <v>-609622</v>
      </c>
      <c r="M313" s="40">
        <f>ROUND(VLOOKUP($A313,'Contribution Allocation_Report'!$A$9:$D$314,4,FALSE)*$M$321,0)</f>
        <v>-195536</v>
      </c>
      <c r="N313" s="40">
        <f>ROUND(VLOOKUP($A313,'Contribution Allocation_Report'!$A$9:$D$314,4,FALSE)*$N$321,0)</f>
        <v>8049</v>
      </c>
      <c r="O313" s="40">
        <f>ROUND(VLOOKUP($A313,'Contribution Allocation_Report'!$A$9:$D$314,4,FALSE)*$O$321,0)</f>
        <v>-21725</v>
      </c>
      <c r="Q313" s="40">
        <f>+VLOOKUP(A313,'Change in Proportion Layers'!$AK$8:$AP$318,2,FALSE)+K313</f>
        <v>-910792</v>
      </c>
      <c r="R313" s="40">
        <f>+VLOOKUP(A313,'Change in Proportion Layers'!$AK$8:$AP$318,3,FALSE)+L313</f>
        <v>-745187</v>
      </c>
      <c r="S313" s="40">
        <f>+VLOOKUP(A313,'Change in Proportion Layers'!$AK$8:$AP$318,4,FALSE)+M313</f>
        <v>-341505</v>
      </c>
      <c r="T313" s="40">
        <f>+VLOOKUP(A313,'Change in Proportion Layers'!$AK$8:$AP$318,5,FALSE)+N313</f>
        <v>-125085</v>
      </c>
      <c r="U313" s="40">
        <f>+VLOOKUP(A313,'Change in Proportion Layers'!$AK$8:$AP$318,6,FALSE)+O313</f>
        <v>-74780</v>
      </c>
      <c r="W313" s="40">
        <f>('OPEB Amounts_Report'!G313-'OPEB Amounts_Report'!M313)</f>
        <v>-2197349</v>
      </c>
      <c r="X313" s="109">
        <f t="shared" si="81"/>
        <v>0</v>
      </c>
    </row>
    <row r="314" spans="1:24">
      <c r="A314" s="22">
        <v>8099</v>
      </c>
      <c r="B314" s="23" t="s">
        <v>292</v>
      </c>
      <c r="C314" s="37">
        <f t="shared" si="82"/>
        <v>-1445561</v>
      </c>
      <c r="D314" s="37">
        <f t="shared" si="83"/>
        <v>-945499</v>
      </c>
      <c r="E314" s="37">
        <f t="shared" si="84"/>
        <v>-309392</v>
      </c>
      <c r="F314" s="37">
        <f t="shared" si="85"/>
        <v>31128</v>
      </c>
      <c r="G314" s="37">
        <f t="shared" si="86"/>
        <v>-24977</v>
      </c>
      <c r="I314" s="41"/>
      <c r="K314" s="40">
        <f>ROUND(VLOOKUP($A314,'Contribution Allocation_Report'!$A$9:$D$314,4,FALSE)*$K$321,0)</f>
        <v>-1734872</v>
      </c>
      <c r="L314" s="40">
        <f>ROUND(VLOOKUP($A314,'Contribution Allocation_Report'!$A$9:$D$314,4,FALSE)*$L$321,0)</f>
        <v>-1169659</v>
      </c>
      <c r="M314" s="40">
        <f>ROUND(VLOOKUP($A314,'Contribution Allocation_Report'!$A$9:$D$314,4,FALSE)*$M$321,0)</f>
        <v>-375169</v>
      </c>
      <c r="N314" s="40">
        <f>ROUND(VLOOKUP($A314,'Contribution Allocation_Report'!$A$9:$D$314,4,FALSE)*$N$321,0)</f>
        <v>15444</v>
      </c>
      <c r="O314" s="40">
        <f>ROUND(VLOOKUP($A314,'Contribution Allocation_Report'!$A$9:$D$314,4,FALSE)*$O$321,0)</f>
        <v>-41683</v>
      </c>
      <c r="Q314" s="40">
        <f>+VLOOKUP(A314,'Change in Proportion Layers'!$AK$8:$AP$318,2,FALSE)+K314</f>
        <v>-1445561</v>
      </c>
      <c r="R314" s="40">
        <f>+VLOOKUP(A314,'Change in Proportion Layers'!$AK$8:$AP$318,3,FALSE)+L314</f>
        <v>-945499</v>
      </c>
      <c r="S314" s="40">
        <f>+VLOOKUP(A314,'Change in Proportion Layers'!$AK$8:$AP$318,4,FALSE)+M314</f>
        <v>-309392</v>
      </c>
      <c r="T314" s="40">
        <f>+VLOOKUP(A314,'Change in Proportion Layers'!$AK$8:$AP$318,5,FALSE)+N314</f>
        <v>31128</v>
      </c>
      <c r="U314" s="40">
        <f>+VLOOKUP(A314,'Change in Proportion Layers'!$AK$8:$AP$318,6,FALSE)+O314-1</f>
        <v>-24977</v>
      </c>
      <c r="W314" s="40">
        <f>('OPEB Amounts_Report'!G314-'OPEB Amounts_Report'!M314)</f>
        <v>-2694301</v>
      </c>
      <c r="X314" s="109">
        <f t="shared" si="81"/>
        <v>0</v>
      </c>
    </row>
    <row r="315" spans="1:24">
      <c r="A315" s="24">
        <v>13142</v>
      </c>
      <c r="B315" s="3" t="s">
        <v>294</v>
      </c>
      <c r="C315" s="38">
        <f>+Q315</f>
        <v>-918054</v>
      </c>
      <c r="D315" s="38">
        <f t="shared" si="83"/>
        <v>-565208</v>
      </c>
      <c r="E315" s="38">
        <f t="shared" si="84"/>
        <v>-297257</v>
      </c>
      <c r="F315" s="38">
        <f t="shared" si="85"/>
        <v>-60966</v>
      </c>
      <c r="G315" s="38">
        <f t="shared" si="86"/>
        <v>-71920</v>
      </c>
      <c r="I315" s="41"/>
      <c r="K315" s="40">
        <f>ROUND(VLOOKUP($A315,'Contribution Allocation_Report'!$A$9:$D$314,4,FALSE)*$K$321,0)</f>
        <v>-995976</v>
      </c>
      <c r="L315" s="40">
        <f>ROUND(VLOOKUP($A315,'Contribution Allocation_Report'!$A$9:$D$314,4,FALSE)*$L$321,0)</f>
        <v>-671492</v>
      </c>
      <c r="M315" s="40">
        <f>ROUND(VLOOKUP($A315,'Contribution Allocation_Report'!$A$9:$D$314,4,FALSE)*$M$321,0)</f>
        <v>-215381</v>
      </c>
      <c r="N315" s="40">
        <f>ROUND(VLOOKUP($A315,'Contribution Allocation_Report'!$A$9:$D$314,4,FALSE)*$N$321,0)</f>
        <v>8866</v>
      </c>
      <c r="O315" s="40">
        <f>ROUND(VLOOKUP($A315,'Contribution Allocation_Report'!$A$9:$D$314,4,FALSE)*$O$321,0)</f>
        <v>-23930</v>
      </c>
      <c r="Q315" s="40">
        <f>+VLOOKUP(A315,'Change in Proportion Layers'!$AK$8:$AP$318,2,FALSE)+K315</f>
        <v>-918054</v>
      </c>
      <c r="R315" s="40">
        <f>+VLOOKUP(A315,'Change in Proportion Layers'!$AK$8:$AP$318,3,FALSE)+L315</f>
        <v>-565208</v>
      </c>
      <c r="S315" s="40">
        <f>+VLOOKUP(A315,'Change in Proportion Layers'!$AK$8:$AP$318,4,FALSE)+M315</f>
        <v>-297257</v>
      </c>
      <c r="T315" s="40">
        <f>+VLOOKUP(A315,'Change in Proportion Layers'!$AK$8:$AP$318,5,FALSE)+N315</f>
        <v>-60966</v>
      </c>
      <c r="U315" s="40">
        <f>+VLOOKUP(A315,'Change in Proportion Layers'!$AK$8:$AP$318,6,FALSE)+O315+1</f>
        <v>-71920</v>
      </c>
      <c r="W315" s="40">
        <f>('OPEB Amounts_Report'!G315-'OPEB Amounts_Report'!M315)</f>
        <v>-1913405</v>
      </c>
      <c r="X315" s="109">
        <f t="shared" si="81"/>
        <v>0</v>
      </c>
    </row>
    <row r="316" spans="1:24">
      <c r="A316" s="22">
        <v>2417</v>
      </c>
      <c r="B316" s="23" t="s">
        <v>803</v>
      </c>
      <c r="C316" s="37">
        <f>+Q316</f>
        <v>-34115</v>
      </c>
      <c r="D316" s="37">
        <f t="shared" ref="D316:G317" si="92">+R316</f>
        <v>-39810</v>
      </c>
      <c r="E316" s="37">
        <f t="shared" si="92"/>
        <v>-41911</v>
      </c>
      <c r="F316" s="37">
        <f t="shared" si="92"/>
        <v>-39823</v>
      </c>
      <c r="G316" s="37">
        <f t="shared" si="92"/>
        <v>-30003</v>
      </c>
      <c r="I316" s="41"/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Q316" s="40">
        <f>+VLOOKUP(A316,'Change in Proportion Layers'!$AK$8:$AP$318,2,FALSE)+K316</f>
        <v>-34115</v>
      </c>
      <c r="R316" s="40">
        <f>+VLOOKUP(A316,'Change in Proportion Layers'!$AK$8:$AP$318,3,FALSE)+L316</f>
        <v>-39810</v>
      </c>
      <c r="S316" s="40">
        <f>+VLOOKUP(A316,'Change in Proportion Layers'!$AK$8:$AP$318,4,FALSE)+M316</f>
        <v>-41911</v>
      </c>
      <c r="T316" s="40">
        <f>+VLOOKUP(A316,'Change in Proportion Layers'!$AK$8:$AP$318,5,FALSE)+N316</f>
        <v>-39823</v>
      </c>
      <c r="U316" s="40">
        <f>+VLOOKUP(A316,'Change in Proportion Layers'!$AK$8:$AP$318,6,FALSE)+O316</f>
        <v>-30003</v>
      </c>
      <c r="W316" s="40">
        <f>('OPEB Amounts_Report'!G316-'OPEB Amounts_Report'!M316)</f>
        <v>-185662</v>
      </c>
      <c r="X316" s="109">
        <f>SUM(Q316:U316)-W316</f>
        <v>0</v>
      </c>
    </row>
    <row r="317" spans="1:24">
      <c r="A317" s="24">
        <v>17425</v>
      </c>
      <c r="B317" s="3" t="s">
        <v>801</v>
      </c>
      <c r="C317" s="38">
        <f>+Q317</f>
        <v>-50714</v>
      </c>
      <c r="D317" s="38">
        <f t="shared" si="92"/>
        <v>-24149</v>
      </c>
      <c r="E317" s="38">
        <f t="shared" si="92"/>
        <v>-47974</v>
      </c>
      <c r="F317" s="38">
        <f t="shared" si="92"/>
        <v>-59933</v>
      </c>
      <c r="G317" s="182">
        <f t="shared" si="92"/>
        <v>0</v>
      </c>
      <c r="I317" s="41"/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Q317" s="40">
        <f>+VLOOKUP(A317,'Change in Proportion Layers'!$AK$8:$AP$318,2,FALSE)+K317</f>
        <v>-50714</v>
      </c>
      <c r="R317" s="40">
        <f>+VLOOKUP(A317,'Change in Proportion Layers'!$AK$8:$AP$318,3,FALSE)+L317</f>
        <v>-24149</v>
      </c>
      <c r="S317" s="40">
        <f>+VLOOKUP(A317,'Change in Proportion Layers'!$AK$8:$AP$318,4,FALSE)+M317</f>
        <v>-47974</v>
      </c>
      <c r="T317" s="40">
        <f>+VLOOKUP(A317,'Change in Proportion Layers'!$AK$8:$AP$318,5,FALSE)+N317</f>
        <v>-59933</v>
      </c>
      <c r="U317" s="40">
        <f>+VLOOKUP(A317,'Change in Proportion Layers'!$AK$8:$AP$318,6,FALSE)+O317</f>
        <v>0</v>
      </c>
      <c r="W317" s="40">
        <f>('OPEB Amounts_Report'!G317-'OPEB Amounts_Report'!M317)</f>
        <v>-182770</v>
      </c>
      <c r="X317" s="109">
        <f>SUM(Q317:U317)-W317</f>
        <v>0</v>
      </c>
    </row>
    <row r="318" spans="1:24">
      <c r="A318" s="22">
        <v>4170</v>
      </c>
      <c r="B318" s="23" t="s">
        <v>798</v>
      </c>
      <c r="C318" s="181">
        <f t="shared" ref="C318" si="93">+Q318</f>
        <v>-58968</v>
      </c>
      <c r="D318" s="181">
        <f t="shared" ref="D318" si="94">+R318</f>
        <v>-14335</v>
      </c>
      <c r="E318" s="181">
        <f t="shared" ref="E318" si="95">+S318</f>
        <v>0</v>
      </c>
      <c r="F318" s="181">
        <f t="shared" ref="F318" si="96">+T318</f>
        <v>0</v>
      </c>
      <c r="G318" s="181">
        <f t="shared" ref="G318" si="97">+U318</f>
        <v>0</v>
      </c>
      <c r="I318" s="41"/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Q318" s="40">
        <f>+VLOOKUP(A318,'Change in Proportion Layers'!$AK$8:$AP$318,2,FALSE)+K318</f>
        <v>-58968</v>
      </c>
      <c r="R318" s="40">
        <f>+VLOOKUP(A318,'Change in Proportion Layers'!$AK$8:$AP$318,3,FALSE)+L318</f>
        <v>-14335</v>
      </c>
      <c r="S318" s="40">
        <f>+VLOOKUP(A318,'Change in Proportion Layers'!$AK$8:$AP$318,4,FALSE)+M318</f>
        <v>0</v>
      </c>
      <c r="T318" s="40">
        <f>+VLOOKUP(A318,'Change in Proportion Layers'!$AK$8:$AP$318,5,FALSE)+N318</f>
        <v>0</v>
      </c>
      <c r="U318" s="40">
        <f>+VLOOKUP(A318,'Change in Proportion Layers'!$AK$8:$AP$318,6,FALSE)+O318</f>
        <v>0</v>
      </c>
      <c r="W318" s="40">
        <f>('OPEB Amounts_Report'!G318-'OPEB Amounts_Report'!M318)</f>
        <v>-73303</v>
      </c>
      <c r="X318" s="109">
        <f t="shared" si="81"/>
        <v>0</v>
      </c>
    </row>
    <row r="319" spans="1:24">
      <c r="A319" s="24">
        <v>17334</v>
      </c>
      <c r="B319" s="3" t="s">
        <v>799</v>
      </c>
      <c r="C319" s="214">
        <f t="shared" ref="C319" si="98">+Q319</f>
        <v>-16508</v>
      </c>
      <c r="D319" s="214">
        <f t="shared" ref="D319" si="99">+R319</f>
        <v>0</v>
      </c>
      <c r="E319" s="214">
        <f t="shared" ref="E319" si="100">+S319</f>
        <v>0</v>
      </c>
      <c r="F319" s="214">
        <f t="shared" ref="F319" si="101">+T319</f>
        <v>0</v>
      </c>
      <c r="G319" s="214">
        <f t="shared" ref="G319" si="102">+U319</f>
        <v>0</v>
      </c>
      <c r="I319" s="41"/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Q319" s="40">
        <f>+VLOOKUP(A319,'Change in Proportion Layers'!$AK$8:$AP$318,2,FALSE)+K319</f>
        <v>-16508</v>
      </c>
      <c r="R319" s="40">
        <f>+VLOOKUP(A319,'Change in Proportion Layers'!$AK$8:$AP$318,3,FALSE)+L319</f>
        <v>0</v>
      </c>
      <c r="S319" s="40">
        <f>+VLOOKUP(A319,'Change in Proportion Layers'!$AK$8:$AP$318,4,FALSE)+M319</f>
        <v>0</v>
      </c>
      <c r="T319" s="40">
        <f>+VLOOKUP(A319,'Change in Proportion Layers'!$AK$8:$AP$318,5,FALSE)+N319</f>
        <v>0</v>
      </c>
      <c r="U319" s="40">
        <f>+VLOOKUP(A319,'Change in Proportion Layers'!$AK$8:$AP$318,6,FALSE)+O319</f>
        <v>0</v>
      </c>
      <c r="W319" s="40">
        <f>('OPEB Amounts_Report'!G319-'OPEB Amounts_Report'!M319)</f>
        <v>-16508</v>
      </c>
      <c r="X319" s="109">
        <f t="shared" si="81"/>
        <v>0</v>
      </c>
    </row>
    <row r="320" spans="1:24" ht="8.1" customHeight="1">
      <c r="A320" s="3"/>
      <c r="B320" s="1"/>
      <c r="C320" s="4"/>
      <c r="D320" s="4"/>
      <c r="E320" s="4"/>
      <c r="F320" s="1"/>
      <c r="G320" s="1"/>
      <c r="J320" s="29"/>
    </row>
    <row r="321" spans="1:24" ht="15.75" thickBot="1">
      <c r="A321" s="3"/>
      <c r="B321" s="14"/>
      <c r="C321" s="42">
        <f>SUM(C10:C320)</f>
        <v>-406958883</v>
      </c>
      <c r="D321" s="42">
        <f>SUM(D10:D320)</f>
        <v>-274373694</v>
      </c>
      <c r="E321" s="42">
        <f>SUM(E10:E320)</f>
        <v>-88005433</v>
      </c>
      <c r="F321" s="42">
        <f>SUM(F10:F320)</f>
        <v>3622790</v>
      </c>
      <c r="G321" s="42">
        <f>SUM(G10:G320)</f>
        <v>-9777802</v>
      </c>
      <c r="I321" s="30"/>
      <c r="J321" s="31"/>
      <c r="K321" s="187">
        <v>-406958883</v>
      </c>
      <c r="L321" s="187">
        <v>-274373694</v>
      </c>
      <c r="M321" s="187">
        <v>-88005433</v>
      </c>
      <c r="N321" s="187">
        <v>3622790</v>
      </c>
      <c r="O321" s="187">
        <v>-9777802</v>
      </c>
      <c r="Q321" s="42">
        <f>SUM(Q10:Q320)</f>
        <v>-406958883</v>
      </c>
      <c r="R321" s="42">
        <f>SUM(R10:R320)</f>
        <v>-274373694</v>
      </c>
      <c r="S321" s="42">
        <f>SUM(S10:S320)</f>
        <v>-88005433</v>
      </c>
      <c r="T321" s="42">
        <f>SUM(T10:T320)</f>
        <v>3622790</v>
      </c>
      <c r="U321" s="42">
        <f>SUM(U10:U320)</f>
        <v>-9777802</v>
      </c>
    </row>
    <row r="322" spans="1:24" ht="15.75" thickTop="1">
      <c r="A322" s="3"/>
      <c r="B322" s="14"/>
      <c r="C322" s="134"/>
      <c r="D322" s="134"/>
      <c r="E322" s="134"/>
      <c r="F322" s="134"/>
      <c r="G322" s="134"/>
      <c r="I322" s="30"/>
      <c r="J322" s="31"/>
      <c r="K322" s="218"/>
      <c r="L322" s="218"/>
      <c r="M322" s="218"/>
      <c r="N322" s="218"/>
      <c r="O322" s="218"/>
      <c r="Q322" s="134"/>
      <c r="R322" s="134"/>
      <c r="S322" s="134"/>
      <c r="T322" s="134"/>
      <c r="U322" s="134"/>
    </row>
    <row r="323" spans="1:24">
      <c r="A323" s="19" t="s">
        <v>800</v>
      </c>
      <c r="B323" s="14"/>
      <c r="C323" s="134"/>
      <c r="D323" s="134"/>
      <c r="E323" s="134"/>
      <c r="F323" s="134"/>
      <c r="G323" s="134"/>
      <c r="I323" s="30"/>
      <c r="J323" s="31"/>
      <c r="K323" s="218"/>
      <c r="L323" s="218"/>
      <c r="M323" s="218"/>
      <c r="N323" s="218"/>
      <c r="O323" s="218"/>
      <c r="Q323" s="134"/>
      <c r="R323" s="134"/>
      <c r="S323" s="134"/>
      <c r="T323" s="134"/>
      <c r="U323" s="134"/>
    </row>
    <row r="324" spans="1:24">
      <c r="A324" s="19" t="s">
        <v>794</v>
      </c>
      <c r="C324" s="6"/>
      <c r="D324" s="6"/>
      <c r="E324" s="6"/>
      <c r="F324" s="6"/>
      <c r="G324" s="6"/>
      <c r="I324" s="7"/>
      <c r="J324" s="32"/>
    </row>
    <row r="325" spans="1:24">
      <c r="A325" s="19" t="s">
        <v>793</v>
      </c>
      <c r="C325" s="40"/>
      <c r="D325" s="40"/>
      <c r="E325" s="40"/>
      <c r="F325" s="40"/>
      <c r="G325" s="40"/>
      <c r="I325" s="33"/>
      <c r="J325" s="32"/>
      <c r="K325" s="188">
        <v>-406958883</v>
      </c>
      <c r="L325" s="188">
        <v>-274373694</v>
      </c>
      <c r="M325" s="188">
        <v>-88005433</v>
      </c>
      <c r="N325" s="188">
        <v>3622790</v>
      </c>
      <c r="O325" s="188">
        <v>-9777802</v>
      </c>
      <c r="Q325" s="188">
        <v>-406958883</v>
      </c>
      <c r="R325" s="188">
        <v>-274373694</v>
      </c>
      <c r="S325" s="188">
        <v>-88005433</v>
      </c>
      <c r="T325" s="188">
        <v>3622790</v>
      </c>
      <c r="U325" s="188">
        <v>-9777802</v>
      </c>
      <c r="X325" s="109">
        <f>SUM(X10:X319)</f>
        <v>0</v>
      </c>
    </row>
    <row r="326" spans="1:24">
      <c r="A326" s="19" t="s">
        <v>792</v>
      </c>
      <c r="C326" s="70"/>
      <c r="D326" s="70"/>
      <c r="E326" s="70"/>
      <c r="F326" s="70"/>
      <c r="G326" s="70"/>
      <c r="K326" s="110" t="s">
        <v>374</v>
      </c>
      <c r="Q326" s="110" t="s">
        <v>374</v>
      </c>
    </row>
    <row r="327" spans="1:24">
      <c r="A327" s="19"/>
      <c r="K327" s="109">
        <f>SUM(K10:K319)-K321</f>
        <v>0</v>
      </c>
      <c r="L327" s="109">
        <f>SUM(L10:L319)-L321</f>
        <v>0</v>
      </c>
      <c r="M327" s="109">
        <f>SUM(M10:M319)-M321</f>
        <v>0</v>
      </c>
      <c r="N327" s="109">
        <f>SUM(N10:N319)-N321</f>
        <v>0</v>
      </c>
      <c r="O327" s="109">
        <f>SUM(O10:O319)-O321</f>
        <v>0</v>
      </c>
      <c r="Q327" s="109">
        <f>+Q321-Q325</f>
        <v>0</v>
      </c>
      <c r="R327" s="109">
        <f>+R321-R325</f>
        <v>0</v>
      </c>
      <c r="S327" s="109">
        <f>+S321-S325</f>
        <v>0</v>
      </c>
      <c r="T327" s="109">
        <f>+T321-T325</f>
        <v>0</v>
      </c>
      <c r="U327" s="109">
        <f>+U321-U325</f>
        <v>0</v>
      </c>
    </row>
    <row r="330" spans="1:24">
      <c r="J330" s="113"/>
      <c r="K330" s="109"/>
      <c r="L330" s="109"/>
      <c r="M330" s="109"/>
      <c r="N330" s="109"/>
      <c r="O330" s="109"/>
      <c r="Q330" s="70"/>
      <c r="R330" s="70"/>
    </row>
    <row r="331" spans="1:24">
      <c r="J331" s="70"/>
      <c r="K331" s="109"/>
      <c r="L331" s="109"/>
      <c r="M331" s="109"/>
      <c r="N331" s="109"/>
      <c r="O331" s="109">
        <f>+'OPEB Amounts_Report'!G321-'OPEB Amounts_Report'!M321</f>
        <v>-775493022</v>
      </c>
    </row>
    <row r="332" spans="1:24">
      <c r="K332" s="64"/>
      <c r="L332" s="64"/>
      <c r="N332" t="s">
        <v>372</v>
      </c>
      <c r="O332" s="70">
        <f>SUM(K321:O321)-O331</f>
        <v>0</v>
      </c>
    </row>
    <row r="333" spans="1:24">
      <c r="K333" s="19"/>
      <c r="L333" s="19"/>
    </row>
    <row r="334" spans="1:24">
      <c r="K334" s="122"/>
      <c r="L334" s="151"/>
      <c r="N334" s="134"/>
    </row>
    <row r="335" spans="1:24">
      <c r="K335" s="122"/>
      <c r="L335" s="101"/>
      <c r="N335" s="134"/>
    </row>
    <row r="336" spans="1:24">
      <c r="K336" s="122"/>
      <c r="L336" s="101"/>
      <c r="N336" s="134"/>
    </row>
    <row r="337" spans="11:14">
      <c r="K337" s="122"/>
      <c r="L337" s="101"/>
      <c r="N337" s="134"/>
    </row>
    <row r="338" spans="11:14">
      <c r="K338" s="122"/>
      <c r="L338" s="101"/>
      <c r="N338" s="134"/>
    </row>
    <row r="339" spans="11:14">
      <c r="K339" s="19"/>
      <c r="L339" s="19"/>
    </row>
    <row r="340" spans="11:14">
      <c r="K340" s="19"/>
      <c r="L340" s="61"/>
    </row>
    <row r="341" spans="11:14">
      <c r="K341" s="19"/>
      <c r="L341" s="19"/>
    </row>
  </sheetData>
  <mergeCells count="8">
    <mergeCell ref="K8:O8"/>
    <mergeCell ref="Q6:U6"/>
    <mergeCell ref="Q8:U8"/>
    <mergeCell ref="A1:G1"/>
    <mergeCell ref="A2:G2"/>
    <mergeCell ref="A3:G3"/>
    <mergeCell ref="C6:G6"/>
    <mergeCell ref="K6:O6"/>
  </mergeCells>
  <printOptions horizontalCentered="1"/>
  <pageMargins left="0.7" right="0.7" top="0.5" bottom="0.5" header="0.5" footer="0.5"/>
  <pageSetup scale="57" firstPageNumber="24" fitToHeight="0" orientation="portrait" useFirstPageNumber="1" r:id="rId1"/>
  <headerFooter scaleWithDoc="0">
    <oddFooter>&amp;C&amp;"Arial,Regular"&amp;10&amp;P</oddFooter>
    <evenFooter>&amp;R&amp;"Arial,Regular"&amp;10&amp;P</evenFooter>
  </headerFooter>
  <rowBreaks count="4" manualBreakCount="4">
    <brk id="80" max="6" man="1"/>
    <brk id="150" max="6" man="1"/>
    <brk id="222" max="6" man="1"/>
    <brk id="294" max="6" man="1"/>
  </rowBreaks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326"/>
  <sheetViews>
    <sheetView view="pageBreakPreview" topLeftCell="A234" zoomScaleNormal="100" zoomScaleSheetLayoutView="100" workbookViewId="0">
      <selection activeCell="B143" sqref="B143"/>
    </sheetView>
  </sheetViews>
  <sheetFormatPr defaultRowHeight="15"/>
  <cols>
    <col min="1" max="1" width="13.5703125" style="19" customWidth="1"/>
    <col min="2" max="2" width="76.42578125" style="19" bestFit="1" customWidth="1"/>
    <col min="3" max="5" width="15.5703125" style="19" bestFit="1" customWidth="1"/>
    <col min="6" max="6" width="2" customWidth="1"/>
  </cols>
  <sheetData>
    <row r="1" spans="1:14" ht="18">
      <c r="A1" s="282" t="s">
        <v>378</v>
      </c>
      <c r="B1" s="282"/>
      <c r="C1" s="282"/>
      <c r="D1" s="282"/>
      <c r="E1" s="282"/>
    </row>
    <row r="2" spans="1:14" ht="15.75">
      <c r="A2" s="283" t="s">
        <v>467</v>
      </c>
      <c r="B2" s="283"/>
      <c r="C2" s="283"/>
      <c r="D2" s="283"/>
      <c r="E2" s="283"/>
    </row>
    <row r="3" spans="1:14" ht="15.75">
      <c r="A3" s="287" t="s">
        <v>471</v>
      </c>
      <c r="B3" s="283"/>
      <c r="C3" s="283"/>
      <c r="D3" s="283"/>
      <c r="E3" s="283"/>
    </row>
    <row r="5" spans="1:14" ht="59.1" customHeight="1">
      <c r="A5" s="35" t="s">
        <v>0</v>
      </c>
      <c r="B5" s="36" t="s">
        <v>1</v>
      </c>
      <c r="C5" s="35" t="s">
        <v>824</v>
      </c>
      <c r="D5" s="35" t="s">
        <v>823</v>
      </c>
      <c r="E5" s="35" t="s">
        <v>825</v>
      </c>
    </row>
    <row r="6" spans="1:14">
      <c r="A6" s="15"/>
      <c r="B6" s="15"/>
      <c r="C6" s="15" t="s">
        <v>397</v>
      </c>
      <c r="D6" s="15" t="s">
        <v>398</v>
      </c>
      <c r="E6" s="15" t="s">
        <v>424</v>
      </c>
    </row>
    <row r="7" spans="1:14">
      <c r="A7" s="15"/>
      <c r="B7" s="15"/>
      <c r="C7" s="15"/>
      <c r="D7" s="15"/>
      <c r="E7" s="15"/>
    </row>
    <row r="8" spans="1:14">
      <c r="A8" s="22">
        <v>1341</v>
      </c>
      <c r="B8" s="23" t="s">
        <v>5</v>
      </c>
      <c r="C8" s="67">
        <f>ROUND(VLOOKUP(A8,'Contribution Allocation_Report'!$A$9:$D$314,4,FALSE)*$C$315,0)+2</f>
        <v>500820021</v>
      </c>
      <c r="D8" s="67">
        <f>ROUND(VLOOKUP(A8,'Contribution Allocation_Report'!$A$9:$D$312,4,FALSE)*$D$315,0)</f>
        <v>390558188</v>
      </c>
      <c r="E8" s="67">
        <f>ROUND(VLOOKUP(A8,'Contribution Allocation_Report'!$A$9:$D$312,4,FALSE)*$E$315,0)-2</f>
        <v>298712282</v>
      </c>
      <c r="H8" s="113"/>
      <c r="J8" s="51"/>
      <c r="K8" s="168"/>
      <c r="N8" s="70"/>
    </row>
    <row r="9" spans="1:14">
      <c r="A9" s="24">
        <v>2308</v>
      </c>
      <c r="B9" s="3" t="s">
        <v>6</v>
      </c>
      <c r="C9" s="25">
        <f>ROUND(VLOOKUP(A9,'Contribution Allocation_Report'!$A$9:$D$314,4,FALSE)*$C$315,0)</f>
        <v>818726</v>
      </c>
      <c r="D9" s="25">
        <f>ROUND(VLOOKUP(A9,'Contribution Allocation_Report'!$A$9:$D$314,4,FALSE)*$D$315,0)</f>
        <v>638473</v>
      </c>
      <c r="E9" s="25">
        <f>ROUND(VLOOKUP(A9,'Contribution Allocation_Report'!$A$9:$D$314,4,FALSE)*$E$315,0)</f>
        <v>488326</v>
      </c>
      <c r="H9" s="113"/>
      <c r="J9" s="53"/>
      <c r="K9" s="168"/>
    </row>
    <row r="10" spans="1:14">
      <c r="A10" s="22">
        <v>2340</v>
      </c>
      <c r="B10" s="23" t="s">
        <v>7</v>
      </c>
      <c r="C10" s="26">
        <f>ROUND(VLOOKUP(A10,'Contribution Allocation_Report'!$A$9:$D$314,4,FALSE)*$C$315,0)</f>
        <v>890439</v>
      </c>
      <c r="D10" s="26">
        <f>ROUND(VLOOKUP(A10,'Contribution Allocation_Report'!$A$9:$D$314,4,FALSE)*$D$315,0)</f>
        <v>694397</v>
      </c>
      <c r="E10" s="26">
        <f>ROUND(VLOOKUP(A10,'Contribution Allocation_Report'!$A$9:$D$314,4,FALSE)*$E$315,0)</f>
        <v>531099</v>
      </c>
      <c r="H10" s="113"/>
      <c r="J10" s="51"/>
      <c r="K10" s="168"/>
    </row>
    <row r="11" spans="1:14">
      <c r="A11" s="24">
        <v>1301</v>
      </c>
      <c r="B11" s="3" t="s">
        <v>8</v>
      </c>
      <c r="C11" s="25">
        <f>ROUND(VLOOKUP(A11,'Contribution Allocation_Report'!$A$9:$D$314,4,FALSE)*$C$315,0)</f>
        <v>987926</v>
      </c>
      <c r="D11" s="25">
        <f>ROUND(VLOOKUP(A11,'Contribution Allocation_Report'!$A$9:$D$314,4,FALSE)*$D$315,0)</f>
        <v>770421</v>
      </c>
      <c r="E11" s="25">
        <f>ROUND(VLOOKUP(A11,'Contribution Allocation_Report'!$A$9:$D$314,4,FALSE)*$E$315,0)</f>
        <v>589245</v>
      </c>
      <c r="H11" s="113"/>
      <c r="J11" s="53"/>
      <c r="K11" s="168"/>
    </row>
    <row r="12" spans="1:14">
      <c r="A12" s="22">
        <v>2390</v>
      </c>
      <c r="B12" s="23" t="s">
        <v>9</v>
      </c>
      <c r="C12" s="26">
        <f>ROUND(VLOOKUP(A12,'Contribution Allocation_Report'!$A$9:$D$314,4,FALSE)*$C$315,0)</f>
        <v>741478</v>
      </c>
      <c r="D12" s="26">
        <f>ROUND(VLOOKUP(A12,'Contribution Allocation_Report'!$A$9:$D$314,4,FALSE)*$D$315,0)</f>
        <v>578232</v>
      </c>
      <c r="E12" s="26">
        <f>ROUND(VLOOKUP(A12,'Contribution Allocation_Report'!$A$9:$D$314,4,FALSE)*$E$315,0)</f>
        <v>442252</v>
      </c>
      <c r="H12" s="113"/>
      <c r="J12" s="51"/>
      <c r="K12" s="168"/>
    </row>
    <row r="13" spans="1:14">
      <c r="A13" s="24">
        <v>2441</v>
      </c>
      <c r="B13" s="3" t="s">
        <v>408</v>
      </c>
      <c r="C13" s="25">
        <f>ROUND(VLOOKUP(A13,'Contribution Allocation_Report'!$A$9:$D$314,4,FALSE)*$C$315,0)</f>
        <v>429793</v>
      </c>
      <c r="D13" s="25">
        <f>ROUND(VLOOKUP(A13,'Contribution Allocation_Report'!$A$9:$D$314,4,FALSE)*$D$315,0)</f>
        <v>335169</v>
      </c>
      <c r="E13" s="25">
        <f>ROUND(VLOOKUP(A13,'Contribution Allocation_Report'!$A$9:$D$314,4,FALSE)*$E$315,0)</f>
        <v>256349</v>
      </c>
      <c r="H13" s="113"/>
      <c r="J13" s="53"/>
      <c r="K13" s="168"/>
    </row>
    <row r="14" spans="1:14">
      <c r="A14" s="22">
        <v>15046</v>
      </c>
      <c r="B14" s="23" t="s">
        <v>10</v>
      </c>
      <c r="C14" s="26">
        <f>ROUND(VLOOKUP(A14,'Contribution Allocation_Report'!$A$9:$D$314,4,FALSE)*$C$315,0)</f>
        <v>14942308</v>
      </c>
      <c r="D14" s="26">
        <f>ROUND(VLOOKUP(A14,'Contribution Allocation_Report'!$A$9:$D$314,4,FALSE)*$D$315,0)</f>
        <v>11652571</v>
      </c>
      <c r="E14" s="26">
        <f>ROUND(VLOOKUP(A14,'Contribution Allocation_Report'!$A$9:$D$314,4,FALSE)*$E$315,0)</f>
        <v>8912286</v>
      </c>
      <c r="J14" s="51"/>
      <c r="K14" s="168"/>
    </row>
    <row r="15" spans="1:14">
      <c r="A15" s="24">
        <v>4380</v>
      </c>
      <c r="B15" s="3" t="s">
        <v>11</v>
      </c>
      <c r="C15" s="25">
        <f>ROUND(VLOOKUP(A15,'Contribution Allocation_Report'!$A$9:$D$314,4,FALSE)*$C$315,0)</f>
        <v>11988864</v>
      </c>
      <c r="D15" s="25">
        <f>ROUND(VLOOKUP(A15,'Contribution Allocation_Report'!$A$9:$D$314,4,FALSE)*$D$315,0)</f>
        <v>9349365</v>
      </c>
      <c r="E15" s="25">
        <f>ROUND(VLOOKUP(A15,'Contribution Allocation_Report'!$A$9:$D$314,4,FALSE)*$E$315,0)</f>
        <v>7150715</v>
      </c>
      <c r="J15" s="53"/>
      <c r="K15" s="168"/>
    </row>
    <row r="16" spans="1:14">
      <c r="A16" s="22">
        <v>2343</v>
      </c>
      <c r="B16" s="23" t="s">
        <v>409</v>
      </c>
      <c r="C16" s="26">
        <f>ROUND(VLOOKUP(A16,'Contribution Allocation_Report'!$A$9:$D$314,4,FALSE)*$C$315,0)</f>
        <v>878163</v>
      </c>
      <c r="D16" s="26">
        <f>ROUND(VLOOKUP(A16,'Contribution Allocation_Report'!$A$9:$D$314,4,FALSE)*$D$315,0)</f>
        <v>684824</v>
      </c>
      <c r="E16" s="26">
        <f>ROUND(VLOOKUP(A16,'Contribution Allocation_Report'!$A$9:$D$314,4,FALSE)*$E$315,0)</f>
        <v>523777</v>
      </c>
      <c r="J16" s="51"/>
      <c r="K16" s="168"/>
    </row>
    <row r="17" spans="1:11">
      <c r="A17" s="24">
        <v>2435</v>
      </c>
      <c r="B17" s="3" t="s">
        <v>391</v>
      </c>
      <c r="C17" s="25">
        <f>ROUND(VLOOKUP(A17,'Contribution Allocation_Report'!$A$9:$D$314,4,FALSE)*$C$315,0)</f>
        <v>543869</v>
      </c>
      <c r="D17" s="25">
        <f>ROUND(VLOOKUP(A17,'Contribution Allocation_Report'!$A$9:$D$314,4,FALSE)*$D$315,0)</f>
        <v>424130</v>
      </c>
      <c r="E17" s="25">
        <f>ROUND(VLOOKUP(A17,'Contribution Allocation_Report'!$A$9:$D$314,4,FALSE)*$E$315,0)</f>
        <v>324389</v>
      </c>
      <c r="J17" s="53"/>
      <c r="K17" s="168"/>
    </row>
    <row r="18" spans="1:11">
      <c r="A18" s="22">
        <v>4560</v>
      </c>
      <c r="B18" s="23" t="s">
        <v>12</v>
      </c>
      <c r="C18" s="26">
        <f>ROUND(VLOOKUP(A18,'Contribution Allocation_Report'!$A$9:$D$314,4,FALSE)*$C$315,0)</f>
        <v>1053295</v>
      </c>
      <c r="D18" s="26">
        <f>ROUND(VLOOKUP(A18,'Contribution Allocation_Report'!$A$9:$D$314,4,FALSE)*$D$315,0)</f>
        <v>821399</v>
      </c>
      <c r="E18" s="26">
        <f>ROUND(VLOOKUP(A18,'Contribution Allocation_Report'!$A$9:$D$314,4,FALSE)*$E$315,0)</f>
        <v>628234</v>
      </c>
      <c r="J18" s="51"/>
      <c r="K18" s="168"/>
    </row>
    <row r="19" spans="1:11">
      <c r="A19" s="24">
        <v>2341</v>
      </c>
      <c r="B19" s="3" t="s">
        <v>406</v>
      </c>
      <c r="C19" s="25">
        <f>ROUND(VLOOKUP(A19,'Contribution Allocation_Report'!$A$9:$D$314,4,FALSE)*$C$315,0)</f>
        <v>665157</v>
      </c>
      <c r="D19" s="25">
        <f>ROUND(VLOOKUP(A19,'Contribution Allocation_Report'!$A$9:$D$314,4,FALSE)*$D$315,0)</f>
        <v>518715</v>
      </c>
      <c r="E19" s="25">
        <f>ROUND(VLOOKUP(A19,'Contribution Allocation_Report'!$A$9:$D$314,4,FALSE)*$E$315,0)</f>
        <v>396731</v>
      </c>
      <c r="J19" s="53"/>
      <c r="K19" s="168"/>
    </row>
    <row r="20" spans="1:11">
      <c r="A20" s="22">
        <v>4580</v>
      </c>
      <c r="B20" s="23" t="s">
        <v>392</v>
      </c>
      <c r="C20" s="26">
        <f>ROUND(VLOOKUP(A20,'Contribution Allocation_Report'!$A$9:$D$314,4,FALSE)*$C$315,0)</f>
        <v>671001</v>
      </c>
      <c r="D20" s="26">
        <f>ROUND(VLOOKUP(A20,'Contribution Allocation_Report'!$A$9:$D$314,4,FALSE)*$D$315,0)</f>
        <v>523272</v>
      </c>
      <c r="E20" s="26">
        <f>ROUND(VLOOKUP(A20,'Contribution Allocation_Report'!$A$9:$D$314,4,FALSE)*$E$315,0)</f>
        <v>400216</v>
      </c>
      <c r="J20" s="51"/>
      <c r="K20" s="168"/>
    </row>
    <row r="21" spans="1:11">
      <c r="A21" s="24">
        <v>2003</v>
      </c>
      <c r="B21" s="3" t="s">
        <v>13</v>
      </c>
      <c r="C21" s="25">
        <f>ROUND(VLOOKUP(A21,'Contribution Allocation_Report'!$A$9:$D$314,4,FALSE)*$C$315,0)</f>
        <v>210669591</v>
      </c>
      <c r="D21" s="25">
        <f>ROUND(VLOOKUP(A21,'Contribution Allocation_Report'!$A$9:$D$314,4,FALSE)*$D$315,0)</f>
        <v>164288029</v>
      </c>
      <c r="E21" s="25">
        <f>ROUND(VLOOKUP(A21,'Contribution Allocation_Report'!$A$9:$D$314,4,FALSE)*$E$315,0)</f>
        <v>125653113</v>
      </c>
      <c r="J21" s="53"/>
      <c r="K21" s="168"/>
    </row>
    <row r="22" spans="1:11">
      <c r="A22" s="22">
        <v>2412</v>
      </c>
      <c r="B22" s="23" t="s">
        <v>14</v>
      </c>
      <c r="C22" s="26">
        <f>ROUND(VLOOKUP(A22,'Contribution Allocation_Report'!$A$9:$D$314,4,FALSE)*$C$315,0)</f>
        <v>2210318</v>
      </c>
      <c r="D22" s="26">
        <f>ROUND(VLOOKUP(A22,'Contribution Allocation_Report'!$A$9:$D$314,4,FALSE)*$D$315,0)</f>
        <v>1723688</v>
      </c>
      <c r="E22" s="26">
        <f>ROUND(VLOOKUP(A22,'Contribution Allocation_Report'!$A$9:$D$314,4,FALSE)*$E$315,0)</f>
        <v>1318336</v>
      </c>
      <c r="J22" s="51"/>
      <c r="K22" s="168"/>
    </row>
    <row r="23" spans="1:11">
      <c r="A23" s="24">
        <v>2402</v>
      </c>
      <c r="B23" s="3" t="s">
        <v>15</v>
      </c>
      <c r="C23" s="25">
        <f>ROUND(VLOOKUP(A23,'Contribution Allocation_Report'!$A$9:$D$314,4,FALSE)*$C$315,0)</f>
        <v>1138079</v>
      </c>
      <c r="D23" s="25">
        <f>ROUND(VLOOKUP(A23,'Contribution Allocation_Report'!$A$9:$D$314,4,FALSE)*$D$315,0)</f>
        <v>887516</v>
      </c>
      <c r="E23" s="25">
        <f>ROUND(VLOOKUP(A23,'Contribution Allocation_Report'!$A$9:$D$314,4,FALSE)*$E$315,0)</f>
        <v>678803</v>
      </c>
      <c r="J23" s="53"/>
      <c r="K23" s="168"/>
    </row>
    <row r="24" spans="1:11">
      <c r="A24" s="22">
        <v>2361</v>
      </c>
      <c r="B24" s="23" t="s">
        <v>16</v>
      </c>
      <c r="C24" s="26">
        <f>ROUND(VLOOKUP(A24,'Contribution Allocation_Report'!$A$9:$D$314,4,FALSE)*$C$315,0)</f>
        <v>333175</v>
      </c>
      <c r="D24" s="26">
        <f>ROUND(VLOOKUP(A24,'Contribution Allocation_Report'!$A$9:$D$314,4,FALSE)*$D$315,0)</f>
        <v>259822</v>
      </c>
      <c r="E24" s="26">
        <f>ROUND(VLOOKUP(A24,'Contribution Allocation_Report'!$A$9:$D$314,4,FALSE)*$E$315,0)</f>
        <v>198721</v>
      </c>
      <c r="J24" s="51"/>
      <c r="K24" s="168"/>
    </row>
    <row r="25" spans="1:11">
      <c r="A25" s="24">
        <v>8347</v>
      </c>
      <c r="B25" s="3" t="s">
        <v>17</v>
      </c>
      <c r="C25" s="25">
        <f>ROUND(VLOOKUP(A25,'Contribution Allocation_Report'!$A$9:$D$314,4,FALSE)*$C$315,0)</f>
        <v>521422</v>
      </c>
      <c r="D25" s="25">
        <f>ROUND(VLOOKUP(A25,'Contribution Allocation_Report'!$A$9:$D$314,4,FALSE)*$D$315,0)</f>
        <v>406624</v>
      </c>
      <c r="E25" s="25">
        <f>ROUND(VLOOKUP(A25,'Contribution Allocation_Report'!$A$9:$D$314,4,FALSE)*$E$315,0)</f>
        <v>311000</v>
      </c>
      <c r="J25" s="53"/>
      <c r="K25" s="168"/>
    </row>
    <row r="26" spans="1:11">
      <c r="A26" s="22">
        <v>2356</v>
      </c>
      <c r="B26" s="23" t="s">
        <v>18</v>
      </c>
      <c r="C26" s="26">
        <f>ROUND(VLOOKUP(A26,'Contribution Allocation_Report'!$A$9:$D$314,4,FALSE)*$C$315,0)</f>
        <v>1148677</v>
      </c>
      <c r="D26" s="26">
        <f>ROUND(VLOOKUP(A26,'Contribution Allocation_Report'!$A$9:$D$314,4,FALSE)*$D$315,0)</f>
        <v>895781</v>
      </c>
      <c r="E26" s="26">
        <f>ROUND(VLOOKUP(A26,'Contribution Allocation_Report'!$A$9:$D$314,4,FALSE)*$E$315,0)</f>
        <v>685124</v>
      </c>
      <c r="J26" s="51"/>
      <c r="K26" s="168"/>
    </row>
    <row r="27" spans="1:11">
      <c r="A27" s="24">
        <v>7335</v>
      </c>
      <c r="B27" s="3" t="s">
        <v>19</v>
      </c>
      <c r="C27" s="25">
        <f>ROUND(VLOOKUP(A27,'Contribution Allocation_Report'!$A$9:$D$314,4,FALSE)*$C$315,0)</f>
        <v>274165</v>
      </c>
      <c r="D27" s="25">
        <f>ROUND(VLOOKUP(A27,'Contribution Allocation_Report'!$A$9:$D$314,4,FALSE)*$D$315,0)</f>
        <v>213804</v>
      </c>
      <c r="E27" s="25">
        <f>ROUND(VLOOKUP(A27,'Contribution Allocation_Report'!$A$9:$D$314,4,FALSE)*$E$315,0)</f>
        <v>163524</v>
      </c>
      <c r="J27" s="53"/>
      <c r="K27" s="168"/>
    </row>
    <row r="28" spans="1:11">
      <c r="A28" s="22">
        <v>2434</v>
      </c>
      <c r="B28" s="23" t="s">
        <v>474</v>
      </c>
      <c r="C28" s="26">
        <f>ROUND(VLOOKUP(A28,'Contribution Allocation_Report'!$A$9:$D$314,4,FALSE)*$C$315,0)</f>
        <v>464531</v>
      </c>
      <c r="D28" s="26">
        <f>ROUND(VLOOKUP(A28,'Contribution Allocation_Report'!$A$9:$D$314,4,FALSE)*$D$315,0)</f>
        <v>362259</v>
      </c>
      <c r="E28" s="26">
        <f>ROUND(VLOOKUP(A28,'Contribution Allocation_Report'!$A$9:$D$314,4,FALSE)*$E$315,0)</f>
        <v>277068</v>
      </c>
      <c r="J28" s="51"/>
      <c r="K28" s="168"/>
    </row>
    <row r="29" spans="1:11">
      <c r="A29" s="24">
        <v>2303</v>
      </c>
      <c r="B29" s="3" t="s">
        <v>20</v>
      </c>
      <c r="C29" s="25">
        <f>ROUND(VLOOKUP(A29,'Contribution Allocation_Report'!$A$9:$D$314,4,FALSE)*$C$315,0)</f>
        <v>664436</v>
      </c>
      <c r="D29" s="25">
        <f>ROUND(VLOOKUP(A29,'Contribution Allocation_Report'!$A$9:$D$314,4,FALSE)*$D$315,0)</f>
        <v>518152</v>
      </c>
      <c r="E29" s="25">
        <f>ROUND(VLOOKUP(A29,'Contribution Allocation_Report'!$A$9:$D$314,4,FALSE)*$E$315,0)</f>
        <v>396301</v>
      </c>
      <c r="J29" s="53"/>
      <c r="K29" s="168"/>
    </row>
    <row r="30" spans="1:11">
      <c r="A30" s="22">
        <v>20316</v>
      </c>
      <c r="B30" s="23" t="s">
        <v>21</v>
      </c>
      <c r="C30" s="26">
        <f>ROUND(VLOOKUP(A30,'Contribution Allocation_Report'!$A$9:$D$314,4,FALSE)*$C$315,0)</f>
        <v>520289</v>
      </c>
      <c r="D30" s="26">
        <f>ROUND(VLOOKUP(A30,'Contribution Allocation_Report'!$A$9:$D$314,4,FALSE)*$D$315,0)</f>
        <v>405741</v>
      </c>
      <c r="E30" s="26">
        <f>ROUND(VLOOKUP(A30,'Contribution Allocation_Report'!$A$9:$D$314,4,FALSE)*$E$315,0)</f>
        <v>310324</v>
      </c>
      <c r="J30" s="51"/>
      <c r="K30" s="168"/>
    </row>
    <row r="31" spans="1:11">
      <c r="A31" s="24">
        <v>23121</v>
      </c>
      <c r="B31" s="3" t="s">
        <v>22</v>
      </c>
      <c r="C31" s="25">
        <f>ROUND(VLOOKUP(A31,'Contribution Allocation_Report'!$A$9:$D$314,4,FALSE)*$C$315,0)</f>
        <v>669868</v>
      </c>
      <c r="D31" s="25">
        <f>ROUND(VLOOKUP(A31,'Contribution Allocation_Report'!$A$9:$D$314,4,FALSE)*$D$315,0)</f>
        <v>522388</v>
      </c>
      <c r="E31" s="25">
        <f>ROUND(VLOOKUP(A31,'Contribution Allocation_Report'!$A$9:$D$314,4,FALSE)*$E$315,0)</f>
        <v>399540</v>
      </c>
      <c r="J31" s="53"/>
      <c r="K31" s="168"/>
    </row>
    <row r="32" spans="1:11">
      <c r="A32" s="22">
        <v>3004</v>
      </c>
      <c r="B32" s="23" t="s">
        <v>23</v>
      </c>
      <c r="C32" s="26">
        <f>ROUND(VLOOKUP(A32,'Contribution Allocation_Report'!$A$9:$D$314,4,FALSE)*$C$315,0)</f>
        <v>9130670</v>
      </c>
      <c r="D32" s="26">
        <f>ROUND(VLOOKUP(A32,'Contribution Allocation_Report'!$A$9:$D$314,4,FALSE)*$D$315,0)</f>
        <v>7120438</v>
      </c>
      <c r="E32" s="26">
        <f>ROUND(VLOOKUP(A32,'Contribution Allocation_Report'!$A$9:$D$314,4,FALSE)*$E$315,0)</f>
        <v>5445955</v>
      </c>
      <c r="J32" s="51"/>
      <c r="K32" s="168"/>
    </row>
    <row r="33" spans="1:11">
      <c r="A33" s="24">
        <v>16050</v>
      </c>
      <c r="B33" s="3" t="s">
        <v>24</v>
      </c>
      <c r="C33" s="25">
        <f>ROUND(VLOOKUP(A33,'Contribution Allocation_Report'!$A$9:$D$314,4,FALSE)*$C$315,0)</f>
        <v>6002270</v>
      </c>
      <c r="D33" s="25">
        <f>ROUND(VLOOKUP(A33,'Contribution Allocation_Report'!$A$9:$D$314,4,FALSE)*$D$315,0)</f>
        <v>4680795</v>
      </c>
      <c r="E33" s="25">
        <f>ROUND(VLOOKUP(A33,'Contribution Allocation_Report'!$A$9:$D$314,4,FALSE)*$E$315,0)</f>
        <v>3580032</v>
      </c>
      <c r="J33" s="53"/>
      <c r="K33" s="168"/>
    </row>
    <row r="34" spans="1:11">
      <c r="A34" s="22">
        <v>14043</v>
      </c>
      <c r="B34" s="23" t="s">
        <v>25</v>
      </c>
      <c r="C34" s="26">
        <f>ROUND(VLOOKUP(A34,'Contribution Allocation_Report'!$A$9:$D$314,4,FALSE)*$C$315,0)</f>
        <v>9155678</v>
      </c>
      <c r="D34" s="26">
        <f>ROUND(VLOOKUP(A34,'Contribution Allocation_Report'!$A$9:$D$314,4,FALSE)*$D$315,0)</f>
        <v>7139940</v>
      </c>
      <c r="E34" s="26">
        <f>ROUND(VLOOKUP(A34,'Contribution Allocation_Report'!$A$9:$D$314,4,FALSE)*$E$315,0)</f>
        <v>5460871</v>
      </c>
      <c r="J34" s="51"/>
      <c r="K34" s="168"/>
    </row>
    <row r="35" spans="1:11">
      <c r="A35" s="24" t="s">
        <v>506</v>
      </c>
      <c r="B35" s="3" t="s">
        <v>26</v>
      </c>
      <c r="C35" s="25">
        <f>ROUND(VLOOKUP(A35,'Contribution Allocation_Report'!$A$9:$D$314,4,FALSE)*$C$315,0)</f>
        <v>62179824</v>
      </c>
      <c r="D35" s="25">
        <f>ROUND(VLOOKUP(A35,'Contribution Allocation_Report'!$A$9:$D$314,4,FALSE)*$D$315,0)</f>
        <v>48490153</v>
      </c>
      <c r="E35" s="25">
        <f>ROUND(VLOOKUP(A35,'Contribution Allocation_Report'!$A$9:$D$314,4,FALSE)*$E$315,0)</f>
        <v>37086930</v>
      </c>
      <c r="J35" s="53"/>
      <c r="K35" s="168"/>
    </row>
    <row r="36" spans="1:11">
      <c r="A36" s="22">
        <v>29086</v>
      </c>
      <c r="B36" s="23" t="s">
        <v>27</v>
      </c>
      <c r="C36" s="26">
        <f>ROUND(VLOOKUP(A36,'Contribution Allocation_Report'!$A$9:$D$314,4,FALSE)*$C$315,0)</f>
        <v>9871485</v>
      </c>
      <c r="D36" s="26">
        <f>ROUND(VLOOKUP(A36,'Contribution Allocation_Report'!$A$9:$D$314,4,FALSE)*$D$315,0)</f>
        <v>7698154</v>
      </c>
      <c r="E36" s="26">
        <f>ROUND(VLOOKUP(A36,'Contribution Allocation_Report'!$A$9:$D$314,4,FALSE)*$E$315,0)</f>
        <v>5887812</v>
      </c>
      <c r="J36" s="51"/>
      <c r="K36" s="168"/>
    </row>
    <row r="37" spans="1:11">
      <c r="A37" s="24">
        <v>16051</v>
      </c>
      <c r="B37" s="3" t="s">
        <v>28</v>
      </c>
      <c r="C37" s="25">
        <f>ROUND(VLOOKUP(A37,'Contribution Allocation_Report'!$A$9:$D$314,4,FALSE)*$C$315,0)</f>
        <v>7160471</v>
      </c>
      <c r="D37" s="25">
        <f>ROUND(VLOOKUP(A37,'Contribution Allocation_Report'!$A$9:$D$314,4,FALSE)*$D$315,0)</f>
        <v>5584003</v>
      </c>
      <c r="E37" s="25">
        <f>ROUND(VLOOKUP(A37,'Contribution Allocation_Report'!$A$9:$D$314,4,FALSE)*$E$315,0)</f>
        <v>4270837</v>
      </c>
      <c r="J37" s="53"/>
      <c r="K37" s="168"/>
    </row>
    <row r="38" spans="1:11">
      <c r="A38" s="22">
        <v>26077</v>
      </c>
      <c r="B38" s="23" t="s">
        <v>29</v>
      </c>
      <c r="C38" s="26">
        <f>ROUND(VLOOKUP(A38,'Contribution Allocation_Report'!$A$9:$D$314,4,FALSE)*$C$315,0)</f>
        <v>1519578</v>
      </c>
      <c r="D38" s="26">
        <f>ROUND(VLOOKUP(A38,'Contribution Allocation_Report'!$A$9:$D$314,4,FALSE)*$D$315,0)</f>
        <v>1185024</v>
      </c>
      <c r="E38" s="26">
        <f>ROUND(VLOOKUP(A38,'Contribution Allocation_Report'!$A$9:$D$314,4,FALSE)*$E$315,0)</f>
        <v>906347</v>
      </c>
      <c r="J38" s="51"/>
      <c r="K38" s="168"/>
    </row>
    <row r="39" spans="1:11">
      <c r="A39" s="24">
        <v>3005</v>
      </c>
      <c r="B39" s="3" t="s">
        <v>30</v>
      </c>
      <c r="C39" s="25">
        <f>ROUND(VLOOKUP(A39,'Contribution Allocation_Report'!$A$9:$D$314,4,FALSE)*$C$315,0)</f>
        <v>17733132</v>
      </c>
      <c r="D39" s="25">
        <f>ROUND(VLOOKUP(A39,'Contribution Allocation_Report'!$A$9:$D$314,4,FALSE)*$D$315,0)</f>
        <v>13828960</v>
      </c>
      <c r="E39" s="25">
        <f>ROUND(VLOOKUP(A39,'Contribution Allocation_Report'!$A$9:$D$314,4,FALSE)*$E$315,0)</f>
        <v>10576862</v>
      </c>
      <c r="J39" s="53"/>
      <c r="K39" s="168"/>
    </row>
    <row r="40" spans="1:11">
      <c r="A40" s="22">
        <v>26078</v>
      </c>
      <c r="B40" s="23" t="s">
        <v>31</v>
      </c>
      <c r="C40" s="26">
        <f>ROUND(VLOOKUP(A40,'Contribution Allocation_Report'!$A$9:$D$314,4,FALSE)*$C$315,0)</f>
        <v>592149</v>
      </c>
      <c r="D40" s="26">
        <f>ROUND(VLOOKUP(A40,'Contribution Allocation_Report'!$A$9:$D$314,4,FALSE)*$D$315,0)</f>
        <v>461780</v>
      </c>
      <c r="E40" s="26">
        <f>ROUND(VLOOKUP(A40,'Contribution Allocation_Report'!$A$9:$D$314,4,FALSE)*$E$315,0)</f>
        <v>353185</v>
      </c>
      <c r="J40" s="51"/>
      <c r="K40" s="168"/>
    </row>
    <row r="41" spans="1:11">
      <c r="A41" s="24">
        <v>16053</v>
      </c>
      <c r="B41" s="3" t="s">
        <v>32</v>
      </c>
      <c r="C41" s="25">
        <f>ROUND(VLOOKUP(A41,'Contribution Allocation_Report'!$A$9:$D$314,4,FALSE)*$C$315,0)</f>
        <v>17391994</v>
      </c>
      <c r="D41" s="25">
        <f>ROUND(VLOOKUP(A41,'Contribution Allocation_Report'!$A$9:$D$314,4,FALSE)*$D$315,0)</f>
        <v>13562927</v>
      </c>
      <c r="E41" s="25">
        <f>ROUND(VLOOKUP(A41,'Contribution Allocation_Report'!$A$9:$D$314,4,FALSE)*$E$315,0)</f>
        <v>10373392</v>
      </c>
      <c r="J41" s="53"/>
      <c r="K41" s="168"/>
    </row>
    <row r="42" spans="1:11">
      <c r="A42" s="22">
        <v>2123</v>
      </c>
      <c r="B42" s="23" t="s">
        <v>33</v>
      </c>
      <c r="C42" s="26">
        <f>ROUND(VLOOKUP(A42,'Contribution Allocation_Report'!$A$9:$D$314,4,FALSE)*$C$315,0)</f>
        <v>31533358</v>
      </c>
      <c r="D42" s="26">
        <f>ROUND(VLOOKUP(A42,'Contribution Allocation_Report'!$A$9:$D$314,4,FALSE)*$D$315,0)</f>
        <v>24590892</v>
      </c>
      <c r="E42" s="26">
        <f>ROUND(VLOOKUP(A42,'Contribution Allocation_Report'!$A$9:$D$314,4,FALSE)*$E$315,0)</f>
        <v>18807957</v>
      </c>
      <c r="J42" s="51"/>
      <c r="K42" s="168"/>
    </row>
    <row r="43" spans="1:11">
      <c r="A43" s="24">
        <v>2150</v>
      </c>
      <c r="B43" s="3" t="s">
        <v>34</v>
      </c>
      <c r="C43" s="25">
        <f>ROUND(VLOOKUP(A43,'Contribution Allocation_Report'!$A$9:$D$314,4,FALSE)*$C$315,0)</f>
        <v>2771570</v>
      </c>
      <c r="D43" s="25">
        <f>ROUND(VLOOKUP(A43,'Contribution Allocation_Report'!$A$9:$D$314,4,FALSE)*$D$315,0)</f>
        <v>2161374</v>
      </c>
      <c r="E43" s="25">
        <f>ROUND(VLOOKUP(A43,'Contribution Allocation_Report'!$A$9:$D$314,4,FALSE)*$E$315,0)</f>
        <v>1653093</v>
      </c>
      <c r="J43" s="53"/>
      <c r="K43" s="168"/>
    </row>
    <row r="44" spans="1:11">
      <c r="A44" s="22">
        <v>2336</v>
      </c>
      <c r="B44" s="23" t="s">
        <v>35</v>
      </c>
      <c r="C44" s="26">
        <f>ROUND(VLOOKUP(A44,'Contribution Allocation_Report'!$A$9:$D$314,4,FALSE)*$C$315,0)</f>
        <v>502625</v>
      </c>
      <c r="D44" s="26">
        <f>ROUND(VLOOKUP(A44,'Contribution Allocation_Report'!$A$9:$D$314,4,FALSE)*$D$315,0)</f>
        <v>391966</v>
      </c>
      <c r="E44" s="26">
        <f>ROUND(VLOOKUP(A44,'Contribution Allocation_Report'!$A$9:$D$314,4,FALSE)*$E$315,0)</f>
        <v>299789</v>
      </c>
      <c r="J44" s="51"/>
      <c r="K44" s="168"/>
    </row>
    <row r="45" spans="1:11">
      <c r="A45" s="24">
        <v>17126</v>
      </c>
      <c r="B45" s="3" t="s">
        <v>36</v>
      </c>
      <c r="C45" s="25">
        <f>ROUND(VLOOKUP(A45,'Contribution Allocation_Report'!$A$9:$D$314,4,FALSE)*$C$315,0)</f>
        <v>1373870</v>
      </c>
      <c r="D45" s="25">
        <f>ROUND(VLOOKUP(A45,'Contribution Allocation_Report'!$A$9:$D$314,4,FALSE)*$D$315,0)</f>
        <v>1071395</v>
      </c>
      <c r="E45" s="25">
        <f>ROUND(VLOOKUP(A45,'Contribution Allocation_Report'!$A$9:$D$314,4,FALSE)*$E$315,0)</f>
        <v>819440</v>
      </c>
      <c r="J45" s="53"/>
      <c r="K45" s="168"/>
    </row>
    <row r="46" spans="1:11">
      <c r="A46" s="22">
        <v>3030</v>
      </c>
      <c r="B46" s="23" t="s">
        <v>37</v>
      </c>
      <c r="C46" s="26">
        <f>ROUND(VLOOKUP(A46,'Contribution Allocation_Report'!$A$9:$D$314,4,FALSE)*$C$315,0)</f>
        <v>3808954</v>
      </c>
      <c r="D46" s="26">
        <f>ROUND(VLOOKUP(A46,'Contribution Allocation_Report'!$A$9:$D$314,4,FALSE)*$D$315,0)</f>
        <v>2970365</v>
      </c>
      <c r="E46" s="26">
        <f>ROUND(VLOOKUP(A46,'Contribution Allocation_Report'!$A$9:$D$314,4,FALSE)*$E$315,0)</f>
        <v>2271837</v>
      </c>
      <c r="J46" s="51"/>
      <c r="K46" s="168"/>
    </row>
    <row r="47" spans="1:11">
      <c r="A47" s="24">
        <v>2353</v>
      </c>
      <c r="B47" s="3" t="s">
        <v>38</v>
      </c>
      <c r="C47" s="25">
        <f>ROUND(VLOOKUP(A47,'Contribution Allocation_Report'!$A$9:$D$314,4,FALSE)*$C$315,0)</f>
        <v>1703703</v>
      </c>
      <c r="D47" s="25">
        <f>ROUND(VLOOKUP(A47,'Contribution Allocation_Report'!$A$9:$D$314,4,FALSE)*$D$315,0)</f>
        <v>1328612</v>
      </c>
      <c r="E47" s="25">
        <f>ROUND(VLOOKUP(A47,'Contribution Allocation_Report'!$A$9:$D$314,4,FALSE)*$E$315,0)</f>
        <v>1016168</v>
      </c>
      <c r="J47" s="53"/>
      <c r="K47" s="168"/>
    </row>
    <row r="48" spans="1:11">
      <c r="A48" s="22">
        <v>3040</v>
      </c>
      <c r="B48" s="23" t="s">
        <v>39</v>
      </c>
      <c r="C48" s="26">
        <f>ROUND(VLOOKUP(A48,'Contribution Allocation_Report'!$A$9:$D$314,4,FALSE)*$C$315,0)</f>
        <v>1690750</v>
      </c>
      <c r="D48" s="26">
        <f>ROUND(VLOOKUP(A48,'Contribution Allocation_Report'!$A$9:$D$314,4,FALSE)*$D$315,0)</f>
        <v>1318510</v>
      </c>
      <c r="E48" s="26">
        <f>ROUND(VLOOKUP(A48,'Contribution Allocation_Report'!$A$9:$D$314,4,FALSE)*$E$315,0)</f>
        <v>1008442</v>
      </c>
      <c r="J48" s="51"/>
      <c r="K48" s="168"/>
    </row>
    <row r="49" spans="1:11">
      <c r="A49" s="24">
        <v>2367</v>
      </c>
      <c r="B49" s="3" t="s">
        <v>40</v>
      </c>
      <c r="C49" s="25">
        <f>ROUND(VLOOKUP(A49,'Contribution Allocation_Report'!$A$9:$D$314,4,FALSE)*$C$315,0)</f>
        <v>1116839</v>
      </c>
      <c r="D49" s="25">
        <f>ROUND(VLOOKUP(A49,'Contribution Allocation_Report'!$A$9:$D$314,4,FALSE)*$D$315,0)</f>
        <v>870953</v>
      </c>
      <c r="E49" s="25">
        <f>ROUND(VLOOKUP(A49,'Contribution Allocation_Report'!$A$9:$D$314,4,FALSE)*$E$315,0)</f>
        <v>666134</v>
      </c>
      <c r="J49" s="53"/>
      <c r="K49" s="168"/>
    </row>
    <row r="50" spans="1:11">
      <c r="A50" s="22">
        <v>9027</v>
      </c>
      <c r="B50" s="23" t="s">
        <v>41</v>
      </c>
      <c r="C50" s="26">
        <f>ROUND(VLOOKUP(A50,'Contribution Allocation_Report'!$A$9:$D$314,4,FALSE)*$C$315,0)</f>
        <v>1292883</v>
      </c>
      <c r="D50" s="26">
        <f>ROUND(VLOOKUP(A50,'Contribution Allocation_Report'!$A$9:$D$314,4,FALSE)*$D$315,0)</f>
        <v>1008239</v>
      </c>
      <c r="E50" s="26">
        <f>ROUND(VLOOKUP(A50,'Contribution Allocation_Report'!$A$9:$D$314,4,FALSE)*$E$315,0)</f>
        <v>771136</v>
      </c>
      <c r="J50" s="51"/>
      <c r="K50" s="168"/>
    </row>
    <row r="51" spans="1:11">
      <c r="A51" s="24">
        <v>2010</v>
      </c>
      <c r="B51" s="3" t="s">
        <v>42</v>
      </c>
      <c r="C51" s="25">
        <f>ROUND(VLOOKUP(A51,'Contribution Allocation_Report'!$A$9:$D$314,4,FALSE)*$C$315,0)</f>
        <v>4968420</v>
      </c>
      <c r="D51" s="25">
        <f>ROUND(VLOOKUP(A51,'Contribution Allocation_Report'!$A$9:$D$314,4,FALSE)*$D$315,0)</f>
        <v>3874560</v>
      </c>
      <c r="E51" s="25">
        <f>ROUND(VLOOKUP(A51,'Contribution Allocation_Report'!$A$9:$D$314,4,FALSE)*$E$315,0)</f>
        <v>2963396</v>
      </c>
      <c r="J51" s="53"/>
      <c r="K51" s="168"/>
    </row>
    <row r="52" spans="1:11">
      <c r="A52" s="22">
        <v>2020</v>
      </c>
      <c r="B52" s="23" t="s">
        <v>43</v>
      </c>
      <c r="C52" s="26">
        <f>ROUND(VLOOKUP(A52,'Contribution Allocation_Report'!$A$9:$D$314,4,FALSE)*$C$315,0)</f>
        <v>130687409</v>
      </c>
      <c r="D52" s="26">
        <f>ROUND(VLOOKUP(A52,'Contribution Allocation_Report'!$A$9:$D$314,4,FALSE)*$D$315,0)</f>
        <v>101914931</v>
      </c>
      <c r="E52" s="26">
        <f>ROUND(VLOOKUP(A52,'Contribution Allocation_Report'!$A$9:$D$314,4,FALSE)*$E$315,0)</f>
        <v>77948031</v>
      </c>
      <c r="J52" s="51"/>
      <c r="K52" s="168"/>
    </row>
    <row r="53" spans="1:11">
      <c r="A53" s="24">
        <v>2040</v>
      </c>
      <c r="B53" s="3" t="s">
        <v>44</v>
      </c>
      <c r="C53" s="25">
        <f>ROUND(VLOOKUP(A53,'Contribution Allocation_Report'!$A$9:$D$314,4,FALSE)*$C$315,0)</f>
        <v>1745742</v>
      </c>
      <c r="D53" s="25">
        <f>ROUND(VLOOKUP(A53,'Contribution Allocation_Report'!$A$9:$D$314,4,FALSE)*$D$315,0)</f>
        <v>1361395</v>
      </c>
      <c r="E53" s="25">
        <f>ROUND(VLOOKUP(A53,'Contribution Allocation_Report'!$A$9:$D$314,4,FALSE)*$E$315,0)</f>
        <v>1041242</v>
      </c>
      <c r="J53" s="53"/>
      <c r="K53" s="168"/>
    </row>
    <row r="54" spans="1:11">
      <c r="A54" s="22">
        <v>2060</v>
      </c>
      <c r="B54" s="23" t="s">
        <v>45</v>
      </c>
      <c r="C54" s="26">
        <f>ROUND(VLOOKUP(A54,'Contribution Allocation_Report'!$A$9:$D$314,4,FALSE)*$C$315,0)</f>
        <v>2586061</v>
      </c>
      <c r="D54" s="26">
        <f>ROUND(VLOOKUP(A54,'Contribution Allocation_Report'!$A$9:$D$314,4,FALSE)*$D$315,0)</f>
        <v>2016707</v>
      </c>
      <c r="E54" s="26">
        <f>ROUND(VLOOKUP(A54,'Contribution Allocation_Report'!$A$9:$D$314,4,FALSE)*$E$315,0)</f>
        <v>1542447</v>
      </c>
      <c r="J54" s="51"/>
      <c r="K54" s="168"/>
    </row>
    <row r="55" spans="1:11">
      <c r="A55" s="24">
        <v>2090</v>
      </c>
      <c r="B55" s="3" t="s">
        <v>46</v>
      </c>
      <c r="C55" s="25">
        <f>ROUND(VLOOKUP(A55,'Contribution Allocation_Report'!$A$9:$D$314,4,FALSE)*$C$315,0)</f>
        <v>1520476</v>
      </c>
      <c r="D55" s="25">
        <f>ROUND(VLOOKUP(A55,'Contribution Allocation_Report'!$A$9:$D$314,4,FALSE)*$D$315,0)</f>
        <v>1185724</v>
      </c>
      <c r="E55" s="25">
        <f>ROUND(VLOOKUP(A55,'Contribution Allocation_Report'!$A$9:$D$314,4,FALSE)*$E$315,0)</f>
        <v>906882</v>
      </c>
      <c r="J55" s="53"/>
      <c r="K55" s="168"/>
    </row>
    <row r="56" spans="1:11">
      <c r="A56" s="22">
        <v>2110</v>
      </c>
      <c r="B56" s="23" t="s">
        <v>47</v>
      </c>
      <c r="C56" s="26">
        <f>ROUND(VLOOKUP(A56,'Contribution Allocation_Report'!$A$9:$D$314,4,FALSE)*$C$315,0)</f>
        <v>10618041</v>
      </c>
      <c r="D56" s="26">
        <f>ROUND(VLOOKUP(A56,'Contribution Allocation_Report'!$A$9:$D$314,4,FALSE)*$D$315,0)</f>
        <v>8280346</v>
      </c>
      <c r="E56" s="26">
        <f>ROUND(VLOOKUP(A56,'Contribution Allocation_Report'!$A$9:$D$314,4,FALSE)*$E$315,0)</f>
        <v>6333092</v>
      </c>
      <c r="J56" s="51"/>
      <c r="K56" s="168"/>
    </row>
    <row r="57" spans="1:11">
      <c r="A57" s="24">
        <v>2180</v>
      </c>
      <c r="B57" s="3" t="s">
        <v>48</v>
      </c>
      <c r="C57" s="25">
        <f>ROUND(VLOOKUP(A57,'Contribution Allocation_Report'!$A$9:$D$314,4,FALSE)*$C$315,0)</f>
        <v>5115776</v>
      </c>
      <c r="D57" s="25">
        <f>ROUND(VLOOKUP(A57,'Contribution Allocation_Report'!$A$9:$D$314,4,FALSE)*$D$315,0)</f>
        <v>3989474</v>
      </c>
      <c r="E57" s="25">
        <f>ROUND(VLOOKUP(A57,'Contribution Allocation_Report'!$A$9:$D$314,4,FALSE)*$E$315,0)</f>
        <v>3051286</v>
      </c>
      <c r="J57" s="53"/>
      <c r="K57" s="168"/>
    </row>
    <row r="58" spans="1:11">
      <c r="A58" s="22">
        <v>2210</v>
      </c>
      <c r="B58" s="23" t="s">
        <v>49</v>
      </c>
      <c r="C58" s="26">
        <f>ROUND(VLOOKUP(A58,'Contribution Allocation_Report'!$A$9:$D$314,4,FALSE)*$C$315,0)</f>
        <v>2449921</v>
      </c>
      <c r="D58" s="26">
        <f>ROUND(VLOOKUP(A58,'Contribution Allocation_Report'!$A$9:$D$314,4,FALSE)*$D$315,0)</f>
        <v>1910540</v>
      </c>
      <c r="E58" s="26">
        <f>ROUND(VLOOKUP(A58,'Contribution Allocation_Report'!$A$9:$D$314,4,FALSE)*$E$315,0)</f>
        <v>1461246</v>
      </c>
      <c r="J58" s="51"/>
      <c r="K58" s="168"/>
    </row>
    <row r="59" spans="1:11">
      <c r="A59" s="24">
        <v>2290</v>
      </c>
      <c r="B59" s="3" t="s">
        <v>50</v>
      </c>
      <c r="C59" s="25">
        <f>ROUND(VLOOKUP(A59,'Contribution Allocation_Report'!$A$9:$D$314,4,FALSE)*$C$315,0)</f>
        <v>2639934</v>
      </c>
      <c r="D59" s="25">
        <f>ROUND(VLOOKUP(A59,'Contribution Allocation_Report'!$A$9:$D$314,4,FALSE)*$D$315,0)</f>
        <v>2058720</v>
      </c>
      <c r="E59" s="25">
        <f>ROUND(VLOOKUP(A59,'Contribution Allocation_Report'!$A$9:$D$314,4,FALSE)*$E$315,0)</f>
        <v>1574579</v>
      </c>
      <c r="J59" s="53"/>
      <c r="K59" s="168"/>
    </row>
    <row r="60" spans="1:11">
      <c r="A60" s="22">
        <v>2310</v>
      </c>
      <c r="B60" s="23" t="s">
        <v>51</v>
      </c>
      <c r="C60" s="26">
        <f>ROUND(VLOOKUP(A60,'Contribution Allocation_Report'!$A$9:$D$314,4,FALSE)*$C$315,0)</f>
        <v>16793000</v>
      </c>
      <c r="D60" s="26">
        <f>ROUND(VLOOKUP(A60,'Contribution Allocation_Report'!$A$9:$D$314,4,FALSE)*$D$315,0)</f>
        <v>13095810</v>
      </c>
      <c r="E60" s="26">
        <f>ROUND(VLOOKUP(A60,'Contribution Allocation_Report'!$A$9:$D$314,4,FALSE)*$E$315,0)</f>
        <v>10016124</v>
      </c>
      <c r="J60" s="51"/>
      <c r="K60" s="168"/>
    </row>
    <row r="61" spans="1:11">
      <c r="A61" s="24">
        <v>2330</v>
      </c>
      <c r="B61" s="3" t="s">
        <v>52</v>
      </c>
      <c r="C61" s="25">
        <f>ROUND(VLOOKUP(A61,'Contribution Allocation_Report'!$A$9:$D$314,4,FALSE)*$C$315,0)</f>
        <v>6518496</v>
      </c>
      <c r="D61" s="25">
        <f>ROUND(VLOOKUP(A61,'Contribution Allocation_Report'!$A$9:$D$314,4,FALSE)*$D$315,0)</f>
        <v>5083367</v>
      </c>
      <c r="E61" s="25">
        <f>ROUND(VLOOKUP(A61,'Contribution Allocation_Report'!$A$9:$D$314,4,FALSE)*$E$315,0)</f>
        <v>3887933</v>
      </c>
      <c r="J61" s="53"/>
      <c r="K61" s="168"/>
    </row>
    <row r="62" spans="1:11">
      <c r="A62" s="22">
        <v>2380</v>
      </c>
      <c r="B62" s="23" t="s">
        <v>53</v>
      </c>
      <c r="C62" s="26">
        <f>ROUND(VLOOKUP(A62,'Contribution Allocation_Report'!$A$9:$D$314,4,FALSE)*$C$315,0)</f>
        <v>1032290</v>
      </c>
      <c r="D62" s="26">
        <f>ROUND(VLOOKUP(A62,'Contribution Allocation_Report'!$A$9:$D$314,4,FALSE)*$D$315,0)</f>
        <v>805018</v>
      </c>
      <c r="E62" s="26">
        <f>ROUND(VLOOKUP(A62,'Contribution Allocation_Report'!$A$9:$D$314,4,FALSE)*$E$315,0)</f>
        <v>615706</v>
      </c>
      <c r="J62" s="51"/>
      <c r="K62" s="168"/>
    </row>
    <row r="63" spans="1:11">
      <c r="A63" s="24">
        <v>2400</v>
      </c>
      <c r="B63" s="3" t="s">
        <v>54</v>
      </c>
      <c r="C63" s="25">
        <f>ROUND(VLOOKUP(A63,'Contribution Allocation_Report'!$A$9:$D$314,4,FALSE)*$C$315,0)</f>
        <v>31708387</v>
      </c>
      <c r="D63" s="25">
        <f>ROUND(VLOOKUP(A63,'Contribution Allocation_Report'!$A$9:$D$314,4,FALSE)*$D$315,0)</f>
        <v>24727386</v>
      </c>
      <c r="E63" s="25">
        <f>ROUND(VLOOKUP(A63,'Contribution Allocation_Report'!$A$9:$D$314,4,FALSE)*$E$315,0)</f>
        <v>18912352</v>
      </c>
      <c r="J63" s="53"/>
      <c r="K63" s="168"/>
    </row>
    <row r="64" spans="1:11">
      <c r="A64" s="22">
        <v>2410</v>
      </c>
      <c r="B64" s="23" t="s">
        <v>55</v>
      </c>
      <c r="C64" s="26">
        <f>ROUND(VLOOKUP(A64,'Contribution Allocation_Report'!$A$9:$D$314,4,FALSE)*$C$315,0)</f>
        <v>3481416</v>
      </c>
      <c r="D64" s="26">
        <f>ROUND(VLOOKUP(A64,'Contribution Allocation_Report'!$A$9:$D$314,4,FALSE)*$D$315,0)</f>
        <v>2714939</v>
      </c>
      <c r="E64" s="26">
        <f>ROUND(VLOOKUP(A64,'Contribution Allocation_Report'!$A$9:$D$314,4,FALSE)*$E$315,0)</f>
        <v>2076478</v>
      </c>
      <c r="J64" s="51"/>
      <c r="K64" s="168"/>
    </row>
    <row r="65" spans="1:11">
      <c r="A65" s="24">
        <v>2500</v>
      </c>
      <c r="B65" s="3" t="s">
        <v>56</v>
      </c>
      <c r="C65" s="25">
        <f>ROUND(VLOOKUP(A65,'Contribution Allocation_Report'!$A$9:$D$314,4,FALSE)*$C$315,0)</f>
        <v>592296</v>
      </c>
      <c r="D65" s="25">
        <f>ROUND(VLOOKUP(A65,'Contribution Allocation_Report'!$A$9:$D$314,4,FALSE)*$D$315,0)</f>
        <v>461895</v>
      </c>
      <c r="E65" s="25">
        <f>ROUND(VLOOKUP(A65,'Contribution Allocation_Report'!$A$9:$D$314,4,FALSE)*$E$315,0)</f>
        <v>353273</v>
      </c>
      <c r="J65" s="53"/>
      <c r="K65" s="168"/>
    </row>
    <row r="66" spans="1:11">
      <c r="A66" s="22">
        <v>2550</v>
      </c>
      <c r="B66" s="23" t="s">
        <v>57</v>
      </c>
      <c r="C66" s="26">
        <f>ROUND(VLOOKUP(A66,'Contribution Allocation_Report'!$A$9:$D$314,4,FALSE)*$C$315,0)</f>
        <v>2155679</v>
      </c>
      <c r="D66" s="26">
        <f>ROUND(VLOOKUP(A66,'Contribution Allocation_Report'!$A$9:$D$314,4,FALSE)*$D$315,0)</f>
        <v>1681079</v>
      </c>
      <c r="E66" s="26">
        <f>ROUND(VLOOKUP(A66,'Contribution Allocation_Report'!$A$9:$D$314,4,FALSE)*$E$315,0)</f>
        <v>1285747</v>
      </c>
      <c r="J66" s="51"/>
      <c r="K66" s="168"/>
    </row>
    <row r="67" spans="1:11">
      <c r="A67" s="24">
        <v>2570</v>
      </c>
      <c r="B67" s="3" t="s">
        <v>58</v>
      </c>
      <c r="C67" s="25">
        <f>ROUND(VLOOKUP(A67,'Contribution Allocation_Report'!$A$9:$D$314,4,FALSE)*$C$315,0)</f>
        <v>1459154</v>
      </c>
      <c r="D67" s="25">
        <f>ROUND(VLOOKUP(A67,'Contribution Allocation_Report'!$A$9:$D$314,4,FALSE)*$D$315,0)</f>
        <v>1137903</v>
      </c>
      <c r="E67" s="25">
        <f>ROUND(VLOOKUP(A67,'Contribution Allocation_Report'!$A$9:$D$314,4,FALSE)*$E$315,0)</f>
        <v>870307</v>
      </c>
      <c r="J67" s="53"/>
      <c r="K67" s="168"/>
    </row>
    <row r="68" spans="1:11">
      <c r="A68" s="22">
        <v>2620</v>
      </c>
      <c r="B68" s="23" t="s">
        <v>59</v>
      </c>
      <c r="C68" s="26">
        <f>ROUND(VLOOKUP(A68,'Contribution Allocation_Report'!$A$9:$D$314,4,FALSE)*$C$315,0)</f>
        <v>14425405</v>
      </c>
      <c r="D68" s="26">
        <f>ROUND(VLOOKUP(A68,'Contribution Allocation_Report'!$A$9:$D$314,4,FALSE)*$D$315,0)</f>
        <v>11249471</v>
      </c>
      <c r="E68" s="26">
        <f>ROUND(VLOOKUP(A68,'Contribution Allocation_Report'!$A$9:$D$314,4,FALSE)*$E$315,0)</f>
        <v>8603981</v>
      </c>
      <c r="J68" s="51"/>
      <c r="K68" s="168"/>
    </row>
    <row r="69" spans="1:11">
      <c r="A69" s="24">
        <v>2630</v>
      </c>
      <c r="B69" s="3" t="s">
        <v>60</v>
      </c>
      <c r="C69" s="25">
        <f>ROUND(VLOOKUP(A69,'Contribution Allocation_Report'!$A$9:$D$314,4,FALSE)*$C$315,0)</f>
        <v>10033811</v>
      </c>
      <c r="D69" s="25">
        <f>ROUND(VLOOKUP(A69,'Contribution Allocation_Report'!$A$9:$D$314,4,FALSE)*$D$315,0)</f>
        <v>7824742</v>
      </c>
      <c r="E69" s="25">
        <f>ROUND(VLOOKUP(A69,'Contribution Allocation_Report'!$A$9:$D$314,4,FALSE)*$E$315,0)</f>
        <v>5984630</v>
      </c>
      <c r="J69" s="53"/>
      <c r="K69" s="168"/>
    </row>
    <row r="70" spans="1:11">
      <c r="A70" s="22">
        <v>2690</v>
      </c>
      <c r="B70" s="23" t="s">
        <v>61</v>
      </c>
      <c r="C70" s="26">
        <f>ROUND(VLOOKUP(A70,'Contribution Allocation_Report'!$A$9:$D$314,4,FALSE)*$C$315,0)</f>
        <v>28022238</v>
      </c>
      <c r="D70" s="26">
        <f>ROUND(VLOOKUP(A70,'Contribution Allocation_Report'!$A$9:$D$314,4,FALSE)*$D$315,0)</f>
        <v>21852789</v>
      </c>
      <c r="E70" s="26">
        <f>ROUND(VLOOKUP(A70,'Contribution Allocation_Report'!$A$9:$D$314,4,FALSE)*$E$315,0)</f>
        <v>16713762</v>
      </c>
      <c r="J70" s="51"/>
      <c r="K70" s="168"/>
    </row>
    <row r="71" spans="1:11">
      <c r="A71" s="24">
        <v>2710</v>
      </c>
      <c r="B71" s="3" t="s">
        <v>62</v>
      </c>
      <c r="C71" s="25">
        <f>ROUND(VLOOKUP(A71,'Contribution Allocation_Report'!$A$9:$D$314,4,FALSE)*$C$315,0)</f>
        <v>217848</v>
      </c>
      <c r="D71" s="25">
        <f>ROUND(VLOOKUP(A71,'Contribution Allocation_Report'!$A$9:$D$314,4,FALSE)*$D$315,0)</f>
        <v>169886</v>
      </c>
      <c r="E71" s="25">
        <f>ROUND(VLOOKUP(A71,'Contribution Allocation_Report'!$A$9:$D$314,4,FALSE)*$E$315,0)</f>
        <v>129935</v>
      </c>
      <c r="J71" s="53"/>
      <c r="K71" s="168"/>
    </row>
    <row r="72" spans="1:11">
      <c r="A72" s="22">
        <v>2730</v>
      </c>
      <c r="B72" s="23" t="s">
        <v>63</v>
      </c>
      <c r="C72" s="26">
        <f>ROUND(VLOOKUP(A72,'Contribution Allocation_Report'!$A$9:$D$314,4,FALSE)*$C$315,0)</f>
        <v>2340982</v>
      </c>
      <c r="D72" s="26">
        <f>ROUND(VLOOKUP(A72,'Contribution Allocation_Report'!$A$9:$D$314,4,FALSE)*$D$315,0)</f>
        <v>1825586</v>
      </c>
      <c r="E72" s="26">
        <f>ROUND(VLOOKUP(A72,'Contribution Allocation_Report'!$A$9:$D$314,4,FALSE)*$E$315,0)</f>
        <v>1396270</v>
      </c>
      <c r="J72" s="51"/>
      <c r="K72" s="168"/>
    </row>
    <row r="73" spans="1:11">
      <c r="A73" s="24">
        <v>2950</v>
      </c>
      <c r="B73" s="3" t="s">
        <v>64</v>
      </c>
      <c r="C73" s="25">
        <f>ROUND(VLOOKUP(A73,'Contribution Allocation_Report'!$A$9:$D$314,4,FALSE)*$C$315,0)</f>
        <v>1937522</v>
      </c>
      <c r="D73" s="25">
        <f>ROUND(VLOOKUP(A73,'Contribution Allocation_Report'!$A$9:$D$314,4,FALSE)*$D$315,0)</f>
        <v>1510952</v>
      </c>
      <c r="E73" s="25">
        <f>ROUND(VLOOKUP(A73,'Contribution Allocation_Report'!$A$9:$D$314,4,FALSE)*$E$315,0)</f>
        <v>1155628</v>
      </c>
      <c r="J73" s="53"/>
      <c r="K73" s="168"/>
    </row>
    <row r="74" spans="1:11">
      <c r="A74" s="22">
        <v>2760</v>
      </c>
      <c r="B74" s="23" t="s">
        <v>65</v>
      </c>
      <c r="C74" s="26">
        <f>ROUND(VLOOKUP(A74,'Contribution Allocation_Report'!$A$9:$D$314,4,FALSE)*$C$315,0)</f>
        <v>1320482</v>
      </c>
      <c r="D74" s="26">
        <f>ROUND(VLOOKUP(A74,'Contribution Allocation_Report'!$A$9:$D$314,4,FALSE)*$D$315,0)</f>
        <v>1029762</v>
      </c>
      <c r="E74" s="26">
        <f>ROUND(VLOOKUP(A74,'Contribution Allocation_Report'!$A$9:$D$314,4,FALSE)*$E$315,0)</f>
        <v>787597</v>
      </c>
      <c r="J74" s="51"/>
      <c r="K74" s="168"/>
    </row>
    <row r="75" spans="1:11">
      <c r="A75" s="24">
        <v>2780</v>
      </c>
      <c r="B75" s="3" t="s">
        <v>66</v>
      </c>
      <c r="C75" s="25">
        <f>ROUND(VLOOKUP(A75,'Contribution Allocation_Report'!$A$9:$D$314,4,FALSE)*$C$315,0)</f>
        <v>147754</v>
      </c>
      <c r="D75" s="25">
        <f>ROUND(VLOOKUP(A75,'Contribution Allocation_Report'!$A$9:$D$314,4,FALSE)*$D$315,0)</f>
        <v>115224</v>
      </c>
      <c r="E75" s="25">
        <f>ROUND(VLOOKUP(A75,'Contribution Allocation_Report'!$A$9:$D$314,4,FALSE)*$E$315,0)</f>
        <v>88127</v>
      </c>
      <c r="J75" s="53"/>
      <c r="K75" s="168"/>
    </row>
    <row r="76" spans="1:11">
      <c r="A76" s="22">
        <v>2810</v>
      </c>
      <c r="B76" s="23" t="s">
        <v>67</v>
      </c>
      <c r="C76" s="26">
        <f>ROUND(VLOOKUP(A76,'Contribution Allocation_Report'!$A$9:$D$314,4,FALSE)*$C$315,0)</f>
        <v>1004294</v>
      </c>
      <c r="D76" s="26">
        <f>ROUND(VLOOKUP(A76,'Contribution Allocation_Report'!$A$9:$D$314,4,FALSE)*$D$315,0)</f>
        <v>783186</v>
      </c>
      <c r="E76" s="26">
        <f>ROUND(VLOOKUP(A76,'Contribution Allocation_Report'!$A$9:$D$314,4,FALSE)*$E$315,0)</f>
        <v>599007</v>
      </c>
      <c r="J76" s="51"/>
      <c r="K76" s="168"/>
    </row>
    <row r="77" spans="1:11">
      <c r="A77" s="24">
        <v>18056</v>
      </c>
      <c r="B77" s="3" t="s">
        <v>68</v>
      </c>
      <c r="C77" s="25">
        <f>ROUND(VLOOKUP(A77,'Contribution Allocation_Report'!$A$9:$D$314,4,FALSE)*$C$315,0)</f>
        <v>1343930</v>
      </c>
      <c r="D77" s="25">
        <f>ROUND(VLOOKUP(A77,'Contribution Allocation_Report'!$A$9:$D$314,4,FALSE)*$D$315,0)</f>
        <v>1048047</v>
      </c>
      <c r="E77" s="25">
        <f>ROUND(VLOOKUP(A77,'Contribution Allocation_Report'!$A$9:$D$314,4,FALSE)*$E$315,0)</f>
        <v>801582</v>
      </c>
      <c r="J77" s="53"/>
      <c r="K77" s="168"/>
    </row>
    <row r="78" spans="1:11">
      <c r="A78" s="22">
        <v>15047</v>
      </c>
      <c r="B78" s="23" t="s">
        <v>69</v>
      </c>
      <c r="C78" s="26">
        <f>ROUND(VLOOKUP(A78,'Contribution Allocation_Report'!$A$9:$D$314,4,FALSE)*$C$315,0)</f>
        <v>1239113</v>
      </c>
      <c r="D78" s="26">
        <f>ROUND(VLOOKUP(A78,'Contribution Allocation_Report'!$A$9:$D$314,4,FALSE)*$D$315,0)</f>
        <v>966307</v>
      </c>
      <c r="E78" s="26">
        <f>ROUND(VLOOKUP(A78,'Contribution Allocation_Report'!$A$9:$D$314,4,FALSE)*$E$315,0)</f>
        <v>739065</v>
      </c>
      <c r="J78" s="51"/>
      <c r="K78" s="168"/>
    </row>
    <row r="79" spans="1:11">
      <c r="A79" s="22">
        <v>5012</v>
      </c>
      <c r="B79" s="23" t="s">
        <v>70</v>
      </c>
      <c r="C79" s="67">
        <f>ROUND(VLOOKUP(A79,'Contribution Allocation_Report'!$A$9:$D$314,4,FALSE)*$C$315,0)</f>
        <v>19879361</v>
      </c>
      <c r="D79" s="67">
        <f>ROUND(VLOOKUP(A79,'Contribution Allocation_Report'!$A$9:$D$314,4,FALSE)*$D$315,0)</f>
        <v>15502669</v>
      </c>
      <c r="E79" s="67">
        <f>ROUND(VLOOKUP(A79,'Contribution Allocation_Report'!$A$9:$D$314,4,FALSE)*$E$315,0)</f>
        <v>11856973</v>
      </c>
      <c r="J79" s="53"/>
      <c r="K79" s="168"/>
    </row>
    <row r="80" spans="1:11">
      <c r="A80" s="24">
        <v>8024</v>
      </c>
      <c r="B80" s="3" t="s">
        <v>71</v>
      </c>
      <c r="C80" s="25">
        <f>ROUND(VLOOKUP(A80,'Contribution Allocation_Report'!$A$9:$D$314,4,FALSE)*$C$315,0)</f>
        <v>3221500</v>
      </c>
      <c r="D80" s="25">
        <f>ROUND(VLOOKUP(A80,'Contribution Allocation_Report'!$A$9:$D$314,4,FALSE)*$D$315,0)</f>
        <v>2512246</v>
      </c>
      <c r="E80" s="25">
        <f>ROUND(VLOOKUP(A80,'Contribution Allocation_Report'!$A$9:$D$314,4,FALSE)*$E$315,0)</f>
        <v>1921452</v>
      </c>
      <c r="J80" s="51"/>
      <c r="K80" s="168"/>
    </row>
    <row r="81" spans="1:11">
      <c r="A81" s="22">
        <v>3050</v>
      </c>
      <c r="B81" s="23" t="s">
        <v>72</v>
      </c>
      <c r="C81" s="26">
        <f>ROUND(VLOOKUP(A81,'Contribution Allocation_Report'!$A$9:$D$314,4,FALSE)*$C$315,0)</f>
        <v>1318628</v>
      </c>
      <c r="D81" s="26">
        <f>ROUND(VLOOKUP(A81,'Contribution Allocation_Report'!$A$9:$D$314,4,FALSE)*$D$315,0)</f>
        <v>1028315</v>
      </c>
      <c r="E81" s="26">
        <f>ROUND(VLOOKUP(A81,'Contribution Allocation_Report'!$A$9:$D$314,4,FALSE)*$E$315,0)</f>
        <v>786491</v>
      </c>
      <c r="J81" s="53"/>
      <c r="K81" s="168"/>
    </row>
    <row r="82" spans="1:11">
      <c r="A82" s="24">
        <v>2421</v>
      </c>
      <c r="B82" s="3" t="s">
        <v>73</v>
      </c>
      <c r="C82" s="25">
        <f>ROUND(VLOOKUP(A82,'Contribution Allocation_Report'!$A$9:$D$314,4,FALSE)*$C$315,0)</f>
        <v>519185</v>
      </c>
      <c r="D82" s="25">
        <f>ROUND(VLOOKUP(A82,'Contribution Allocation_Report'!$A$9:$D$314,4,FALSE)*$D$315,0)</f>
        <v>404880</v>
      </c>
      <c r="E82" s="25">
        <f>ROUND(VLOOKUP(A82,'Contribution Allocation_Report'!$A$9:$D$314,4,FALSE)*$E$315,0)</f>
        <v>309666</v>
      </c>
      <c r="J82" s="51"/>
      <c r="K82" s="168"/>
    </row>
    <row r="83" spans="1:11">
      <c r="A83" s="22">
        <v>26079</v>
      </c>
      <c r="B83" s="23" t="s">
        <v>74</v>
      </c>
      <c r="C83" s="26">
        <f>ROUND(VLOOKUP(A83,'Contribution Allocation_Report'!$A$9:$D$314,4,FALSE)*$C$315,0)</f>
        <v>520171</v>
      </c>
      <c r="D83" s="26">
        <f>ROUND(VLOOKUP(A83,'Contribution Allocation_Report'!$A$9:$D$314,4,FALSE)*$D$315,0)</f>
        <v>405649</v>
      </c>
      <c r="E83" s="26">
        <f>ROUND(VLOOKUP(A83,'Contribution Allocation_Report'!$A$9:$D$314,4,FALSE)*$E$315,0)</f>
        <v>310254</v>
      </c>
      <c r="J83" s="53"/>
      <c r="K83" s="168"/>
    </row>
    <row r="84" spans="1:11">
      <c r="A84" s="24">
        <v>2363</v>
      </c>
      <c r="B84" s="3" t="s">
        <v>75</v>
      </c>
      <c r="C84" s="25">
        <f>ROUND(VLOOKUP(A84,'Contribution Allocation_Report'!$A$9:$D$314,4,FALSE)*$C$315,0)</f>
        <v>564050</v>
      </c>
      <c r="D84" s="25">
        <f>ROUND(VLOOKUP(A84,'Contribution Allocation_Report'!$A$9:$D$314,4,FALSE)*$D$315,0)</f>
        <v>439867</v>
      </c>
      <c r="E84" s="25">
        <f>ROUND(VLOOKUP(A84,'Contribution Allocation_Report'!$A$9:$D$314,4,FALSE)*$E$315,0)</f>
        <v>336425</v>
      </c>
      <c r="J84" s="51"/>
      <c r="K84" s="168"/>
    </row>
    <row r="85" spans="1:11">
      <c r="A85" s="22">
        <v>2364</v>
      </c>
      <c r="B85" s="23" t="s">
        <v>76</v>
      </c>
      <c r="C85" s="26">
        <f>ROUND(VLOOKUP(A85,'Contribution Allocation_Report'!$A$9:$D$314,4,FALSE)*$C$315,0)</f>
        <v>1959174</v>
      </c>
      <c r="D85" s="26">
        <f>ROUND(VLOOKUP(A85,'Contribution Allocation_Report'!$A$9:$D$314,4,FALSE)*$D$315,0)</f>
        <v>1527837</v>
      </c>
      <c r="E85" s="26">
        <f>ROUND(VLOOKUP(A85,'Contribution Allocation_Report'!$A$9:$D$314,4,FALSE)*$E$315,0)</f>
        <v>1168542</v>
      </c>
      <c r="J85" s="53"/>
      <c r="K85" s="168"/>
    </row>
    <row r="86" spans="1:11">
      <c r="A86" s="24">
        <v>25319</v>
      </c>
      <c r="B86" s="3" t="s">
        <v>77</v>
      </c>
      <c r="C86" s="25">
        <f>ROUND(VLOOKUP(A86,'Contribution Allocation_Report'!$A$9:$D$314,4,FALSE)*$C$315,0)</f>
        <v>452932</v>
      </c>
      <c r="D86" s="25">
        <f>ROUND(VLOOKUP(A86,'Contribution Allocation_Report'!$A$9:$D$314,4,FALSE)*$D$315,0)</f>
        <v>353214</v>
      </c>
      <c r="E86" s="25">
        <f>ROUND(VLOOKUP(A86,'Contribution Allocation_Report'!$A$9:$D$314,4,FALSE)*$E$315,0)</f>
        <v>270150</v>
      </c>
      <c r="J86" s="51"/>
      <c r="K86" s="168"/>
    </row>
    <row r="87" spans="1:11">
      <c r="A87" s="22">
        <v>29087</v>
      </c>
      <c r="B87" s="23" t="s">
        <v>78</v>
      </c>
      <c r="C87" s="26">
        <f>ROUND(VLOOKUP(A87,'Contribution Allocation_Report'!$A$9:$D$314,4,FALSE)*$C$315,0)</f>
        <v>3845414</v>
      </c>
      <c r="D87" s="26">
        <f>ROUND(VLOOKUP(A87,'Contribution Allocation_Report'!$A$9:$D$314,4,FALSE)*$D$315,0)</f>
        <v>2998797</v>
      </c>
      <c r="E87" s="26">
        <f>ROUND(VLOOKUP(A87,'Contribution Allocation_Report'!$A$9:$D$314,4,FALSE)*$E$315,0)</f>
        <v>2293583</v>
      </c>
      <c r="J87" s="53"/>
      <c r="K87" s="168"/>
    </row>
    <row r="88" spans="1:11">
      <c r="A88" s="24">
        <v>3060</v>
      </c>
      <c r="B88" s="3" t="s">
        <v>79</v>
      </c>
      <c r="C88" s="25">
        <f>ROUND(VLOOKUP(A88,'Contribution Allocation_Report'!$A$9:$D$314,4,FALSE)*$C$315,0)</f>
        <v>2206108</v>
      </c>
      <c r="D88" s="25">
        <f>ROUND(VLOOKUP(A88,'Contribution Allocation_Report'!$A$9:$D$314,4,FALSE)*$D$315,0)</f>
        <v>1720405</v>
      </c>
      <c r="E88" s="25">
        <f>ROUND(VLOOKUP(A88,'Contribution Allocation_Report'!$A$9:$D$314,4,FALSE)*$E$315,0)</f>
        <v>1315825</v>
      </c>
      <c r="J88" s="51"/>
      <c r="K88" s="168"/>
    </row>
    <row r="89" spans="1:11">
      <c r="A89" s="22">
        <v>19301</v>
      </c>
      <c r="B89" s="23" t="s">
        <v>80</v>
      </c>
      <c r="C89" s="26">
        <f>ROUND(VLOOKUP(A89,'Contribution Allocation_Report'!$A$9:$D$314,4,FALSE)*$C$315,0)</f>
        <v>398102</v>
      </c>
      <c r="D89" s="26">
        <f>ROUND(VLOOKUP(A89,'Contribution Allocation_Report'!$A$9:$D$314,4,FALSE)*$D$315,0)</f>
        <v>310455</v>
      </c>
      <c r="E89" s="26">
        <f>ROUND(VLOOKUP(A89,'Contribution Allocation_Report'!$A$9:$D$314,4,FALSE)*$E$315,0)</f>
        <v>237447</v>
      </c>
      <c r="J89" s="53"/>
      <c r="K89" s="168"/>
    </row>
    <row r="90" spans="1:11">
      <c r="A90" s="24">
        <v>19059</v>
      </c>
      <c r="B90" s="3" t="s">
        <v>81</v>
      </c>
      <c r="C90" s="25">
        <f>ROUND(VLOOKUP(A90,'Contribution Allocation_Report'!$A$9:$D$314,4,FALSE)*$C$315,0)</f>
        <v>13722787</v>
      </c>
      <c r="D90" s="25">
        <f>ROUND(VLOOKUP(A90,'Contribution Allocation_Report'!$A$9:$D$314,4,FALSE)*$D$315,0)</f>
        <v>10701543</v>
      </c>
      <c r="E90" s="25">
        <f>ROUND(VLOOKUP(A90,'Contribution Allocation_Report'!$A$9:$D$314,4,FALSE)*$E$315,0)</f>
        <v>8184906</v>
      </c>
      <c r="J90" s="51"/>
      <c r="K90" s="168"/>
    </row>
    <row r="91" spans="1:11">
      <c r="A91" s="22">
        <v>18057</v>
      </c>
      <c r="B91" s="23" t="s">
        <v>82</v>
      </c>
      <c r="C91" s="26">
        <f>ROUND(VLOOKUP(A91,'Contribution Allocation_Report'!$A$9:$D$314,4,FALSE)*$C$315,0)</f>
        <v>588705</v>
      </c>
      <c r="D91" s="26">
        <f>ROUND(VLOOKUP(A91,'Contribution Allocation_Report'!$A$9:$D$314,4,FALSE)*$D$315,0)</f>
        <v>459094</v>
      </c>
      <c r="E91" s="26">
        <f>ROUND(VLOOKUP(A91,'Contribution Allocation_Report'!$A$9:$D$314,4,FALSE)*$E$315,0)</f>
        <v>351131</v>
      </c>
      <c r="J91" s="53"/>
      <c r="K91" s="168"/>
    </row>
    <row r="92" spans="1:11">
      <c r="A92" s="24">
        <v>4008</v>
      </c>
      <c r="B92" s="3" t="s">
        <v>83</v>
      </c>
      <c r="C92" s="25">
        <f>ROUND(VLOOKUP(A92,'Contribution Allocation_Report'!$A$9:$D$314,4,FALSE)*$C$315,0)</f>
        <v>2266561</v>
      </c>
      <c r="D92" s="25">
        <f>ROUND(VLOOKUP(A92,'Contribution Allocation_Report'!$A$9:$D$314,4,FALSE)*$D$315,0)</f>
        <v>1767549</v>
      </c>
      <c r="E92" s="25">
        <f>ROUND(VLOOKUP(A92,'Contribution Allocation_Report'!$A$9:$D$314,4,FALSE)*$E$315,0)</f>
        <v>1351882</v>
      </c>
      <c r="J92" s="51"/>
      <c r="K92" s="168"/>
    </row>
    <row r="93" spans="1:11">
      <c r="A93" s="22">
        <v>2350</v>
      </c>
      <c r="B93" s="23" t="s">
        <v>84</v>
      </c>
      <c r="C93" s="26">
        <f>ROUND(VLOOKUP(A93,'Contribution Allocation_Report'!$A$9:$D$314,4,FALSE)*$C$315,0)</f>
        <v>667954</v>
      </c>
      <c r="D93" s="26">
        <f>ROUND(VLOOKUP(A93,'Contribution Allocation_Report'!$A$9:$D$314,4,FALSE)*$D$315,0)</f>
        <v>520896</v>
      </c>
      <c r="E93" s="26">
        <f>ROUND(VLOOKUP(A93,'Contribution Allocation_Report'!$A$9:$D$314,4,FALSE)*$E$315,0)</f>
        <v>398399</v>
      </c>
      <c r="J93" s="53"/>
      <c r="K93" s="168"/>
    </row>
    <row r="94" spans="1:11">
      <c r="A94" s="24">
        <v>11117</v>
      </c>
      <c r="B94" s="3" t="s">
        <v>85</v>
      </c>
      <c r="C94" s="25">
        <f>ROUND(VLOOKUP(A94,'Contribution Allocation_Report'!$A$9:$D$314,4,FALSE)*$C$315,0)</f>
        <v>783428</v>
      </c>
      <c r="D94" s="25">
        <f>ROUND(VLOOKUP(A94,'Contribution Allocation_Report'!$A$9:$D$314,4,FALSE)*$D$315,0)</f>
        <v>610947</v>
      </c>
      <c r="E94" s="25">
        <f>ROUND(VLOOKUP(A94,'Contribution Allocation_Report'!$A$9:$D$314,4,FALSE)*$E$315,0)</f>
        <v>467273</v>
      </c>
      <c r="J94" s="51"/>
      <c r="K94" s="168"/>
    </row>
    <row r="95" spans="1:11">
      <c r="A95" s="22">
        <v>16359</v>
      </c>
      <c r="B95" s="23" t="s">
        <v>86</v>
      </c>
      <c r="C95" s="26">
        <f>ROUND(VLOOKUP(A95,'Contribution Allocation_Report'!$A$9:$D$314,4,FALSE)*$C$315,0)</f>
        <v>150565</v>
      </c>
      <c r="D95" s="26">
        <f>ROUND(VLOOKUP(A95,'Contribution Allocation_Report'!$A$9:$D$314,4,FALSE)*$D$315,0)</f>
        <v>117416</v>
      </c>
      <c r="E95" s="26">
        <f>ROUND(VLOOKUP(A95,'Contribution Allocation_Report'!$A$9:$D$314,4,FALSE)*$E$315,0)</f>
        <v>89804</v>
      </c>
      <c r="J95" s="53"/>
      <c r="K95" s="168"/>
    </row>
    <row r="96" spans="1:11">
      <c r="A96" s="24">
        <v>17115</v>
      </c>
      <c r="B96" s="3" t="s">
        <v>87</v>
      </c>
      <c r="C96" s="25">
        <f>ROUND(VLOOKUP(A96,'Contribution Allocation_Report'!$A$9:$D$314,4,FALSE)*$C$315,0)</f>
        <v>2888782</v>
      </c>
      <c r="D96" s="25">
        <f>ROUND(VLOOKUP(A96,'Contribution Allocation_Report'!$A$9:$D$314,4,FALSE)*$D$315,0)</f>
        <v>2252780</v>
      </c>
      <c r="E96" s="25">
        <f>ROUND(VLOOKUP(A96,'Contribution Allocation_Report'!$A$9:$D$314,4,FALSE)*$E$315,0)</f>
        <v>1723003</v>
      </c>
      <c r="J96" s="51"/>
      <c r="K96" s="168"/>
    </row>
    <row r="97" spans="1:11">
      <c r="A97" s="22">
        <v>13437</v>
      </c>
      <c r="B97" s="23" t="s">
        <v>88</v>
      </c>
      <c r="C97" s="26">
        <f>ROUND(VLOOKUP(A97,'Contribution Allocation_Report'!$A$9:$D$314,4,FALSE)*$C$315,0)</f>
        <v>274621</v>
      </c>
      <c r="D97" s="26">
        <f>ROUND(VLOOKUP(A97,'Contribution Allocation_Report'!$A$9:$D$314,4,FALSE)*$D$315,0)</f>
        <v>214160</v>
      </c>
      <c r="E97" s="26">
        <f>ROUND(VLOOKUP(A97,'Contribution Allocation_Report'!$A$9:$D$314,4,FALSE)*$E$315,0)</f>
        <v>163797</v>
      </c>
      <c r="J97" s="53"/>
      <c r="K97" s="168"/>
    </row>
    <row r="98" spans="1:11">
      <c r="A98" s="24">
        <v>2304</v>
      </c>
      <c r="B98" s="3" t="s">
        <v>89</v>
      </c>
      <c r="C98" s="25">
        <f>ROUND(VLOOKUP(A98,'Contribution Allocation_Report'!$A$9:$D$314,4,FALSE)*$C$315,0)</f>
        <v>1037133</v>
      </c>
      <c r="D98" s="25">
        <f>ROUND(VLOOKUP(A98,'Contribution Allocation_Report'!$A$9:$D$314,4,FALSE)*$D$315,0)</f>
        <v>808795</v>
      </c>
      <c r="E98" s="25">
        <f>ROUND(VLOOKUP(A98,'Contribution Allocation_Report'!$A$9:$D$314,4,FALSE)*$E$315,0)</f>
        <v>618594</v>
      </c>
      <c r="J98" s="51"/>
      <c r="K98" s="168"/>
    </row>
    <row r="99" spans="1:11">
      <c r="A99" s="22">
        <v>11101</v>
      </c>
      <c r="B99" s="23" t="s">
        <v>91</v>
      </c>
      <c r="C99" s="26">
        <f>ROUND(VLOOKUP(A99,'Contribution Allocation_Report'!$A$9:$D$314,4,FALSE)*$C$315,0)</f>
        <v>11788945</v>
      </c>
      <c r="D99" s="26">
        <f>ROUND(VLOOKUP(A99,'Contribution Allocation_Report'!$A$9:$D$314,4,FALSE)*$D$315,0)</f>
        <v>9193460</v>
      </c>
      <c r="E99" s="26">
        <f>ROUND(VLOOKUP(A99,'Contribution Allocation_Report'!$A$9:$D$314,4,FALSE)*$E$315,0)</f>
        <v>7031473</v>
      </c>
      <c r="J99" s="53"/>
      <c r="K99" s="168"/>
    </row>
    <row r="100" spans="1:11">
      <c r="A100" s="24">
        <v>11102</v>
      </c>
      <c r="B100" s="3" t="s">
        <v>90</v>
      </c>
      <c r="C100" s="25">
        <f>ROUND(VLOOKUP(A100,'Contribution Allocation_Report'!$A$9:$D$314,4,FALSE)*$C$315,0)</f>
        <v>3821009</v>
      </c>
      <c r="D100" s="25">
        <f>ROUND(VLOOKUP(A100,'Contribution Allocation_Report'!$A$9:$D$314,4,FALSE)*$D$315,0)</f>
        <v>2979766</v>
      </c>
      <c r="E100" s="25">
        <f>ROUND(VLOOKUP(A100,'Contribution Allocation_Report'!$A$9:$D$314,4,FALSE)*$E$315,0)</f>
        <v>2279027</v>
      </c>
      <c r="J100" s="51"/>
      <c r="K100" s="168"/>
    </row>
    <row r="101" spans="1:11">
      <c r="A101" s="22">
        <v>3100</v>
      </c>
      <c r="B101" s="23" t="s">
        <v>92</v>
      </c>
      <c r="C101" s="26">
        <f>ROUND(VLOOKUP(A101,'Contribution Allocation_Report'!$A$9:$D$314,4,FALSE)*$C$315,0)</f>
        <v>8013242</v>
      </c>
      <c r="D101" s="26">
        <f>ROUND(VLOOKUP(A101,'Contribution Allocation_Report'!$A$9:$D$314,4,FALSE)*$D$315,0)</f>
        <v>6249026</v>
      </c>
      <c r="E101" s="26">
        <f>ROUND(VLOOKUP(A101,'Contribution Allocation_Report'!$A$9:$D$314,4,FALSE)*$E$315,0)</f>
        <v>4779469</v>
      </c>
      <c r="J101" s="53"/>
      <c r="K101" s="168"/>
    </row>
    <row r="102" spans="1:11">
      <c r="A102" s="24">
        <v>2323</v>
      </c>
      <c r="B102" s="3" t="s">
        <v>93</v>
      </c>
      <c r="C102" s="25">
        <f>ROUND(VLOOKUP(A102,'Contribution Allocation_Report'!$A$9:$D$314,4,FALSE)*$C$315,0)</f>
        <v>763601</v>
      </c>
      <c r="D102" s="25">
        <f>ROUND(VLOOKUP(A102,'Contribution Allocation_Report'!$A$9:$D$314,4,FALSE)*$D$315,0)</f>
        <v>595485</v>
      </c>
      <c r="E102" s="25">
        <f>ROUND(VLOOKUP(A102,'Contribution Allocation_Report'!$A$9:$D$314,4,FALSE)*$E$315,0)</f>
        <v>455447</v>
      </c>
      <c r="J102" s="51"/>
      <c r="K102" s="168"/>
    </row>
    <row r="103" spans="1:11">
      <c r="A103" s="22">
        <v>11034</v>
      </c>
      <c r="B103" s="23" t="s">
        <v>94</v>
      </c>
      <c r="C103" s="26">
        <f>ROUND(VLOOKUP(A103,'Contribution Allocation_Report'!$A$9:$D$314,4,FALSE)*$C$315,0)</f>
        <v>663568</v>
      </c>
      <c r="D103" s="26">
        <f>ROUND(VLOOKUP(A103,'Contribution Allocation_Report'!$A$9:$D$314,4,FALSE)*$D$315,0)</f>
        <v>517475</v>
      </c>
      <c r="E103" s="26">
        <f>ROUND(VLOOKUP(A103,'Contribution Allocation_Report'!$A$9:$D$314,4,FALSE)*$E$315,0)</f>
        <v>395783</v>
      </c>
      <c r="J103" s="53"/>
      <c r="K103" s="168"/>
    </row>
    <row r="104" spans="1:11">
      <c r="A104" s="24">
        <v>588001</v>
      </c>
      <c r="B104" s="3" t="s">
        <v>475</v>
      </c>
      <c r="C104" s="25">
        <f>ROUND(VLOOKUP(A104,'Contribution Allocation_Report'!$A$9:$D$314,4,FALSE)*$C$315,0)</f>
        <v>23021</v>
      </c>
      <c r="D104" s="25">
        <f>ROUND(VLOOKUP(A104,'Contribution Allocation_Report'!$A$9:$D$314,4,FALSE)*$D$315,0)</f>
        <v>17953</v>
      </c>
      <c r="E104" s="25">
        <f>ROUND(VLOOKUP(A104,'Contribution Allocation_Report'!$A$9:$D$314,4,FALSE)*$E$315,0)</f>
        <v>13731</v>
      </c>
      <c r="J104" s="51"/>
      <c r="K104" s="168"/>
    </row>
    <row r="105" spans="1:11">
      <c r="A105" s="22">
        <v>17054</v>
      </c>
      <c r="B105" s="23" t="s">
        <v>95</v>
      </c>
      <c r="C105" s="26">
        <f>ROUND(VLOOKUP(A105,'Contribution Allocation_Report'!$A$9:$D$314,4,FALSE)*$C$315,0)</f>
        <v>8426888</v>
      </c>
      <c r="D105" s="26">
        <f>ROUND(VLOOKUP(A105,'Contribution Allocation_Report'!$A$9:$D$314,4,FALSE)*$D$315,0)</f>
        <v>6571603</v>
      </c>
      <c r="E105" s="26">
        <f>ROUND(VLOOKUP(A105,'Contribution Allocation_Report'!$A$9:$D$314,4,FALSE)*$E$315,0)</f>
        <v>5026187</v>
      </c>
      <c r="J105" s="53"/>
      <c r="K105" s="168"/>
    </row>
    <row r="106" spans="1:11">
      <c r="A106" s="24">
        <v>22065</v>
      </c>
      <c r="B106" s="3" t="s">
        <v>96</v>
      </c>
      <c r="C106" s="25">
        <f>ROUND(VLOOKUP(A106,'Contribution Allocation_Report'!$A$9:$D$314,4,FALSE)*$C$315,0)</f>
        <v>2177434</v>
      </c>
      <c r="D106" s="25">
        <f>ROUND(VLOOKUP(A106,'Contribution Allocation_Report'!$A$9:$D$314,4,FALSE)*$D$315,0)</f>
        <v>1698045</v>
      </c>
      <c r="E106" s="25">
        <f>ROUND(VLOOKUP(A106,'Contribution Allocation_Report'!$A$9:$D$314,4,FALSE)*$E$315,0)</f>
        <v>1298723</v>
      </c>
      <c r="J106" s="51"/>
      <c r="K106" s="168"/>
    </row>
    <row r="107" spans="1:11">
      <c r="A107" s="22">
        <v>22201</v>
      </c>
      <c r="B107" s="23" t="s">
        <v>97</v>
      </c>
      <c r="C107" s="26">
        <f>ROUND(VLOOKUP(A107,'Contribution Allocation_Report'!$A$9:$D$314,4,FALSE)*$C$315,0)</f>
        <v>1180103</v>
      </c>
      <c r="D107" s="26">
        <f>ROUND(VLOOKUP(A107,'Contribution Allocation_Report'!$A$9:$D$314,4,FALSE)*$D$315,0)</f>
        <v>920288</v>
      </c>
      <c r="E107" s="26">
        <f>ROUND(VLOOKUP(A107,'Contribution Allocation_Report'!$A$9:$D$314,4,FALSE)*$E$315,0)</f>
        <v>703868</v>
      </c>
      <c r="J107" s="53"/>
      <c r="K107" s="168"/>
    </row>
    <row r="108" spans="1:11">
      <c r="A108" s="24">
        <v>6016</v>
      </c>
      <c r="B108" s="3" t="s">
        <v>98</v>
      </c>
      <c r="C108" s="25">
        <f>ROUND(VLOOKUP(A108,'Contribution Allocation_Report'!$A$9:$D$314,4,FALSE)*$C$315,0)</f>
        <v>2175079</v>
      </c>
      <c r="D108" s="25">
        <f>ROUND(VLOOKUP(A108,'Contribution Allocation_Report'!$A$9:$D$314,4,FALSE)*$D$315,0)</f>
        <v>1696208</v>
      </c>
      <c r="E108" s="25">
        <f>ROUND(VLOOKUP(A108,'Contribution Allocation_Report'!$A$9:$D$314,4,FALSE)*$E$315,0)</f>
        <v>1297318</v>
      </c>
      <c r="J108" s="53"/>
      <c r="K108" s="168"/>
    </row>
    <row r="109" spans="1:11">
      <c r="A109" s="22">
        <v>2432</v>
      </c>
      <c r="B109" s="23" t="s">
        <v>99</v>
      </c>
      <c r="C109" s="26">
        <f>ROUND(VLOOKUP(A109,'Contribution Allocation_Report'!$A$9:$D$314,4,FALSE)*$C$315,0)</f>
        <v>3638944</v>
      </c>
      <c r="D109" s="26">
        <f>ROUND(VLOOKUP(A109,'Contribution Allocation_Report'!$A$9:$D$314,4,FALSE)*$D$315,0)</f>
        <v>2837785</v>
      </c>
      <c r="E109" s="26">
        <f>ROUND(VLOOKUP(A109,'Contribution Allocation_Report'!$A$9:$D$314,4,FALSE)*$E$315,0)</f>
        <v>2170435</v>
      </c>
      <c r="J109" s="51"/>
      <c r="K109" s="168"/>
    </row>
    <row r="110" spans="1:11">
      <c r="A110" s="24">
        <v>7440</v>
      </c>
      <c r="B110" s="3" t="s">
        <v>428</v>
      </c>
      <c r="C110" s="25">
        <f>ROUND(VLOOKUP(A110,'Contribution Allocation_Report'!$A$9:$D$314,4,FALSE)*$C$315,0)</f>
        <v>1176570</v>
      </c>
      <c r="D110" s="25">
        <f>ROUND(VLOOKUP(A110,'Contribution Allocation_Report'!$A$9:$D$314,4,FALSE)*$D$315,0)</f>
        <v>917534</v>
      </c>
      <c r="E110" s="25">
        <f>ROUND(VLOOKUP(A110,'Contribution Allocation_Report'!$A$9:$D$314,4,FALSE)*$E$315,0)</f>
        <v>701761</v>
      </c>
      <c r="J110" s="51"/>
      <c r="K110" s="168"/>
    </row>
    <row r="111" spans="1:11">
      <c r="A111" s="22">
        <v>29125</v>
      </c>
      <c r="B111" s="23" t="s">
        <v>454</v>
      </c>
      <c r="C111" s="26">
        <f>ROUND(VLOOKUP(A111,'Contribution Allocation_Report'!$A$9:$D$314,4,FALSE)*$C$315,0)</f>
        <v>758759</v>
      </c>
      <c r="D111" s="26">
        <f>ROUND(VLOOKUP(A111,'Contribution Allocation_Report'!$A$9:$D$314,4,FALSE)*$D$315,0)</f>
        <v>591708</v>
      </c>
      <c r="E111" s="26">
        <f>ROUND(VLOOKUP(A111,'Contribution Allocation_Report'!$A$9:$D$314,4,FALSE)*$E$315,0)</f>
        <v>452559</v>
      </c>
      <c r="J111" s="51"/>
      <c r="K111" s="168"/>
    </row>
    <row r="112" spans="1:11">
      <c r="A112" s="24">
        <v>16052</v>
      </c>
      <c r="B112" s="3" t="s">
        <v>100</v>
      </c>
      <c r="C112" s="25">
        <f>ROUND(VLOOKUP(A112,'Contribution Allocation_Report'!$A$9:$D$314,4,FALSE)*$C$315,0)</f>
        <v>25066468</v>
      </c>
      <c r="D112" s="25">
        <f>ROUND(VLOOKUP(A112,'Contribution Allocation_Report'!$A$9:$D$314,4,FALSE)*$D$315,0)</f>
        <v>19547769</v>
      </c>
      <c r="E112" s="25">
        <f>ROUND(VLOOKUP(A112,'Contribution Allocation_Report'!$A$9:$D$314,4,FALSE)*$E$315,0)</f>
        <v>14950804</v>
      </c>
      <c r="J112" s="53"/>
      <c r="K112" s="168"/>
    </row>
    <row r="113" spans="1:11">
      <c r="A113" s="22">
        <v>11118</v>
      </c>
      <c r="B113" s="23" t="s">
        <v>101</v>
      </c>
      <c r="C113" s="26">
        <f>ROUND(VLOOKUP(A113,'Contribution Allocation_Report'!$A$9:$D$314,4,FALSE)*$C$315,0)</f>
        <v>678670</v>
      </c>
      <c r="D113" s="26">
        <f>ROUND(VLOOKUP(A113,'Contribution Allocation_Report'!$A$9:$D$314,4,FALSE)*$D$315,0)</f>
        <v>529252</v>
      </c>
      <c r="E113" s="26">
        <f>ROUND(VLOOKUP(A113,'Contribution Allocation_Report'!$A$9:$D$314,4,FALSE)*$E$315,0)</f>
        <v>404790</v>
      </c>
      <c r="J113" s="51"/>
      <c r="K113" s="168"/>
    </row>
    <row r="114" spans="1:11">
      <c r="A114" s="24">
        <v>27083</v>
      </c>
      <c r="B114" s="3" t="s">
        <v>102</v>
      </c>
      <c r="C114" s="25">
        <f>ROUND(VLOOKUP(A114,'Contribution Allocation_Report'!$A$9:$D$314,4,FALSE)*$C$315,0)</f>
        <v>1094774</v>
      </c>
      <c r="D114" s="25">
        <f>ROUND(VLOOKUP(A114,'Contribution Allocation_Report'!$A$9:$D$314,4,FALSE)*$D$315,0)</f>
        <v>853746</v>
      </c>
      <c r="E114" s="25">
        <f>ROUND(VLOOKUP(A114,'Contribution Allocation_Report'!$A$9:$D$314,4,FALSE)*$E$315,0)</f>
        <v>652974</v>
      </c>
      <c r="J114" s="53"/>
      <c r="K114" s="168"/>
    </row>
    <row r="115" spans="1:11">
      <c r="A115" s="22">
        <v>7021</v>
      </c>
      <c r="B115" s="23" t="s">
        <v>103</v>
      </c>
      <c r="C115" s="26">
        <f>ROUND(VLOOKUP(A115,'Contribution Allocation_Report'!$A$9:$D$314,4,FALSE)*$C$315,0)</f>
        <v>35601168</v>
      </c>
      <c r="D115" s="26">
        <f>ROUND(VLOOKUP(A115,'Contribution Allocation_Report'!$A$9:$D$314,4,FALSE)*$D$315,0)</f>
        <v>27763122</v>
      </c>
      <c r="E115" s="26">
        <f>ROUND(VLOOKUP(A115,'Contribution Allocation_Report'!$A$9:$D$314,4,FALSE)*$E$315,0)</f>
        <v>21234187</v>
      </c>
      <c r="J115" s="51"/>
      <c r="K115" s="168"/>
    </row>
    <row r="116" spans="1:11">
      <c r="A116" s="24">
        <v>4140</v>
      </c>
      <c r="B116" s="3" t="s">
        <v>104</v>
      </c>
      <c r="C116" s="25">
        <f>ROUND(VLOOKUP(A116,'Contribution Allocation_Report'!$A$9:$D$314,4,FALSE)*$C$315,0)</f>
        <v>222632</v>
      </c>
      <c r="D116" s="25">
        <f>ROUND(VLOOKUP(A116,'Contribution Allocation_Report'!$A$9:$D$314,4,FALSE)*$D$315,0)</f>
        <v>173617</v>
      </c>
      <c r="E116" s="25">
        <f>ROUND(VLOOKUP(A116,'Contribution Allocation_Report'!$A$9:$D$314,4,FALSE)*$E$315,0)</f>
        <v>132788</v>
      </c>
      <c r="J116" s="53"/>
      <c r="K116" s="168"/>
    </row>
    <row r="117" spans="1:11">
      <c r="A117" s="22">
        <v>13041</v>
      </c>
      <c r="B117" s="23" t="s">
        <v>105</v>
      </c>
      <c r="C117" s="26">
        <f>ROUND(VLOOKUP(A117,'Contribution Allocation_Report'!$A$9:$D$314,4,FALSE)*$C$315,0)</f>
        <v>30051035</v>
      </c>
      <c r="D117" s="26">
        <f>ROUND(VLOOKUP(A117,'Contribution Allocation_Report'!$A$9:$D$314,4,FALSE)*$D$315,0)</f>
        <v>23434921</v>
      </c>
      <c r="E117" s="26">
        <f>ROUND(VLOOKUP(A117,'Contribution Allocation_Report'!$A$9:$D$314,4,FALSE)*$E$315,0)</f>
        <v>17923831</v>
      </c>
      <c r="J117" s="51"/>
      <c r="K117" s="168"/>
    </row>
    <row r="118" spans="1:11">
      <c r="A118" s="24">
        <v>2339</v>
      </c>
      <c r="B118" s="3" t="s">
        <v>106</v>
      </c>
      <c r="C118" s="25">
        <f>ROUND(VLOOKUP(A118,'Contribution Allocation_Report'!$A$9:$D$314,4,FALSE)*$C$315,0)</f>
        <v>480104</v>
      </c>
      <c r="D118" s="25">
        <f>ROUND(VLOOKUP(A118,'Contribution Allocation_Report'!$A$9:$D$314,4,FALSE)*$D$315,0)</f>
        <v>374403</v>
      </c>
      <c r="E118" s="25">
        <f>ROUND(VLOOKUP(A118,'Contribution Allocation_Report'!$A$9:$D$314,4,FALSE)*$E$315,0)</f>
        <v>286357</v>
      </c>
      <c r="J118" s="53"/>
      <c r="K118" s="168"/>
    </row>
    <row r="119" spans="1:11">
      <c r="A119" s="22">
        <v>2362</v>
      </c>
      <c r="B119" s="23" t="s">
        <v>107</v>
      </c>
      <c r="C119" s="26">
        <f>ROUND(VLOOKUP(A119,'Contribution Allocation_Report'!$A$9:$D$314,4,FALSE)*$C$315,0)</f>
        <v>616083</v>
      </c>
      <c r="D119" s="26">
        <f>ROUND(VLOOKUP(A119,'Contribution Allocation_Report'!$A$9:$D$314,4,FALSE)*$D$315,0)</f>
        <v>480444</v>
      </c>
      <c r="E119" s="26">
        <f>ROUND(VLOOKUP(A119,'Contribution Allocation_Report'!$A$9:$D$314,4,FALSE)*$E$315,0)</f>
        <v>367460</v>
      </c>
      <c r="J119" s="51"/>
      <c r="K119" s="168"/>
    </row>
    <row r="120" spans="1:11">
      <c r="A120" s="24">
        <v>5013</v>
      </c>
      <c r="B120" s="3" t="s">
        <v>108</v>
      </c>
      <c r="C120" s="25">
        <f>ROUND(VLOOKUP(A120,'Contribution Allocation_Report'!$A$9:$D$314,4,FALSE)*$C$315,0)</f>
        <v>541485</v>
      </c>
      <c r="D120" s="25">
        <f>ROUND(VLOOKUP(A120,'Contribution Allocation_Report'!$A$9:$D$314,4,FALSE)*$D$315,0)</f>
        <v>422270</v>
      </c>
      <c r="E120" s="25">
        <f>ROUND(VLOOKUP(A120,'Contribution Allocation_Report'!$A$9:$D$314,4,FALSE)*$E$315,0)</f>
        <v>322967</v>
      </c>
      <c r="J120" s="53"/>
      <c r="K120" s="168"/>
    </row>
    <row r="121" spans="1:11">
      <c r="A121" s="22">
        <v>3110</v>
      </c>
      <c r="B121" s="23" t="s">
        <v>109</v>
      </c>
      <c r="C121" s="26">
        <f>ROUND(VLOOKUP(A121,'Contribution Allocation_Report'!$A$9:$D$314,4,FALSE)*$C$315,0)</f>
        <v>2604240</v>
      </c>
      <c r="D121" s="26">
        <f>ROUND(VLOOKUP(A121,'Contribution Allocation_Report'!$A$9:$D$314,4,FALSE)*$D$315,0)</f>
        <v>2030884</v>
      </c>
      <c r="E121" s="26">
        <f>ROUND(VLOOKUP(A121,'Contribution Allocation_Report'!$A$9:$D$314,4,FALSE)*$E$315,0)</f>
        <v>1553289</v>
      </c>
      <c r="J121" s="51"/>
      <c r="K121" s="168"/>
    </row>
    <row r="122" spans="1:11">
      <c r="A122" s="24">
        <v>14044</v>
      </c>
      <c r="B122" s="3" t="s">
        <v>110</v>
      </c>
      <c r="C122" s="25">
        <f>ROUND(VLOOKUP(A122,'Contribution Allocation_Report'!$A$9:$D$314,4,FALSE)*$C$315,0)</f>
        <v>8387749</v>
      </c>
      <c r="D122" s="25">
        <f>ROUND(VLOOKUP(A122,'Contribution Allocation_Report'!$A$9:$D$314,4,FALSE)*$D$315,0)</f>
        <v>6541081</v>
      </c>
      <c r="E122" s="25">
        <f>ROUND(VLOOKUP(A122,'Contribution Allocation_Report'!$A$9:$D$314,4,FALSE)*$E$315,0)</f>
        <v>5002843</v>
      </c>
      <c r="J122" s="53"/>
      <c r="K122" s="168"/>
    </row>
    <row r="123" spans="1:11">
      <c r="A123" s="22">
        <v>4009</v>
      </c>
      <c r="B123" s="23" t="s">
        <v>111</v>
      </c>
      <c r="C123" s="26">
        <f>ROUND(VLOOKUP(A123,'Contribution Allocation_Report'!$A$9:$D$314,4,FALSE)*$C$315,0)</f>
        <v>1242690</v>
      </c>
      <c r="D123" s="26">
        <f>ROUND(VLOOKUP(A123,'Contribution Allocation_Report'!$A$9:$D$314,4,FALSE)*$D$315,0)</f>
        <v>969096</v>
      </c>
      <c r="E123" s="26">
        <f>ROUND(VLOOKUP(A123,'Contribution Allocation_Report'!$A$9:$D$314,4,FALSE)*$E$315,0)</f>
        <v>741198</v>
      </c>
      <c r="J123" s="51"/>
      <c r="K123" s="168"/>
    </row>
    <row r="124" spans="1:11">
      <c r="A124" s="24">
        <v>7022</v>
      </c>
      <c r="B124" s="3" t="s">
        <v>112</v>
      </c>
      <c r="C124" s="25">
        <f>ROUND(VLOOKUP(A124,'Contribution Allocation_Report'!$A$9:$D$314,4,FALSE)*$C$315,0)</f>
        <v>3669281</v>
      </c>
      <c r="D124" s="25">
        <f>ROUND(VLOOKUP(A124,'Contribution Allocation_Report'!$A$9:$D$314,4,FALSE)*$D$315,0)</f>
        <v>2861442</v>
      </c>
      <c r="E124" s="25">
        <f>ROUND(VLOOKUP(A124,'Contribution Allocation_Report'!$A$9:$D$314,4,FALSE)*$E$315,0)</f>
        <v>2188529</v>
      </c>
      <c r="J124" s="53"/>
      <c r="K124" s="168"/>
    </row>
    <row r="125" spans="1:11">
      <c r="A125" s="22">
        <v>2430</v>
      </c>
      <c r="B125" s="23" t="s">
        <v>113</v>
      </c>
      <c r="C125" s="26">
        <f>ROUND(VLOOKUP(A125,'Contribution Allocation_Report'!$A$9:$D$314,4,FALSE)*$C$315,0)</f>
        <v>435092</v>
      </c>
      <c r="D125" s="26">
        <f>ROUND(VLOOKUP(A125,'Contribution Allocation_Report'!$A$9:$D$314,4,FALSE)*$D$315,0)</f>
        <v>339301</v>
      </c>
      <c r="E125" s="26">
        <f>ROUND(VLOOKUP(A125,'Contribution Allocation_Report'!$A$9:$D$314,4,FALSE)*$E$315,0)</f>
        <v>259509</v>
      </c>
      <c r="J125" s="51"/>
      <c r="K125" s="168"/>
    </row>
    <row r="126" spans="1:11">
      <c r="A126" s="24">
        <v>9150</v>
      </c>
      <c r="B126" s="3" t="s">
        <v>114</v>
      </c>
      <c r="C126" s="25">
        <f>ROUND(VLOOKUP(A126,'Contribution Allocation_Report'!$A$9:$D$314,4,FALSE)*$C$315,0)</f>
        <v>217215</v>
      </c>
      <c r="D126" s="25">
        <f>ROUND(VLOOKUP(A126,'Contribution Allocation_Report'!$A$9:$D$314,4,FALSE)*$D$315,0)</f>
        <v>169392</v>
      </c>
      <c r="E126" s="25">
        <f>ROUND(VLOOKUP(A126,'Contribution Allocation_Report'!$A$9:$D$314,4,FALSE)*$E$315,0)</f>
        <v>129557</v>
      </c>
      <c r="J126" s="53"/>
      <c r="K126" s="168"/>
    </row>
    <row r="127" spans="1:11">
      <c r="A127" s="22">
        <v>6017</v>
      </c>
      <c r="B127" s="23" t="s">
        <v>115</v>
      </c>
      <c r="C127" s="26">
        <f>ROUND(VLOOKUP(A127,'Contribution Allocation_Report'!$A$9:$D$314,4,FALSE)*$C$315,0)</f>
        <v>24807067</v>
      </c>
      <c r="D127" s="26">
        <f>ROUND(VLOOKUP(A127,'Contribution Allocation_Report'!$A$9:$D$314,4,FALSE)*$D$315,0)</f>
        <v>19345479</v>
      </c>
      <c r="E127" s="26">
        <f>ROUND(VLOOKUP(A127,'Contribution Allocation_Report'!$A$9:$D$314,4,FALSE)*$E$315,0)</f>
        <v>14796085</v>
      </c>
      <c r="J127" s="51"/>
      <c r="K127" s="168"/>
    </row>
    <row r="128" spans="1:11">
      <c r="A128" s="24">
        <v>26080</v>
      </c>
      <c r="B128" s="3" t="s">
        <v>116</v>
      </c>
      <c r="C128" s="25">
        <f>ROUND(VLOOKUP(A128,'Contribution Allocation_Report'!$A$9:$D$314,4,FALSE)*$C$315,0)</f>
        <v>549198</v>
      </c>
      <c r="D128" s="25">
        <f>ROUND(VLOOKUP(A128,'Contribution Allocation_Report'!$A$9:$D$314,4,FALSE)*$D$315,0)</f>
        <v>428285</v>
      </c>
      <c r="E128" s="25">
        <f>ROUND(VLOOKUP(A128,'Contribution Allocation_Report'!$A$9:$D$314,4,FALSE)*$E$315,0)</f>
        <v>327567</v>
      </c>
      <c r="J128" s="53"/>
      <c r="K128" s="168"/>
    </row>
    <row r="129" spans="1:11">
      <c r="A129" s="22">
        <v>2327</v>
      </c>
      <c r="B129" s="23" t="s">
        <v>117</v>
      </c>
      <c r="C129" s="26">
        <f>ROUND(VLOOKUP(A129,'Contribution Allocation_Report'!$A$9:$D$314,4,FALSE)*$C$315,0)</f>
        <v>902597</v>
      </c>
      <c r="D129" s="26">
        <f>ROUND(VLOOKUP(A129,'Contribution Allocation_Report'!$A$9:$D$314,4,FALSE)*$D$315,0)</f>
        <v>703879</v>
      </c>
      <c r="E129" s="26">
        <f>ROUND(VLOOKUP(A129,'Contribution Allocation_Report'!$A$9:$D$314,4,FALSE)*$E$315,0)</f>
        <v>538351</v>
      </c>
      <c r="J129" s="51"/>
      <c r="K129" s="168"/>
    </row>
    <row r="130" spans="1:11">
      <c r="A130" s="24">
        <v>10119</v>
      </c>
      <c r="B130" s="3" t="s">
        <v>118</v>
      </c>
      <c r="C130" s="25">
        <f>ROUND(VLOOKUP(A130,'Contribution Allocation_Report'!$A$9:$D$314,4,FALSE)*$C$315,0)</f>
        <v>449002</v>
      </c>
      <c r="D130" s="25">
        <f>ROUND(VLOOKUP(A130,'Contribution Allocation_Report'!$A$9:$D$314,4,FALSE)*$D$315,0)</f>
        <v>350149</v>
      </c>
      <c r="E130" s="25">
        <f>ROUND(VLOOKUP(A130,'Contribution Allocation_Report'!$A$9:$D$314,4,FALSE)*$E$315,0)</f>
        <v>267806</v>
      </c>
      <c r="J130" s="53"/>
      <c r="K130" s="168"/>
    </row>
    <row r="131" spans="1:11">
      <c r="A131" s="22">
        <v>13436</v>
      </c>
      <c r="B131" s="23" t="s">
        <v>394</v>
      </c>
      <c r="C131" s="26">
        <f>ROUND(VLOOKUP(A131,'Contribution Allocation_Report'!$A$9:$D$314,4,FALSE)*$C$315,0)</f>
        <v>2312898</v>
      </c>
      <c r="D131" s="26">
        <f>ROUND(VLOOKUP(A131,'Contribution Allocation_Report'!$A$9:$D$314,4,FALSE)*$D$315,0)</f>
        <v>1803684</v>
      </c>
      <c r="E131" s="26">
        <f>ROUND(VLOOKUP(A131,'Contribution Allocation_Report'!$A$9:$D$314,4,FALSE)*$E$315,0)</f>
        <v>1379519</v>
      </c>
      <c r="J131" s="51"/>
      <c r="K131" s="168"/>
    </row>
    <row r="132" spans="1:11">
      <c r="A132" s="24">
        <v>2368</v>
      </c>
      <c r="B132" s="3" t="s">
        <v>119</v>
      </c>
      <c r="C132" s="25">
        <f>ROUND(VLOOKUP(A132,'Contribution Allocation_Report'!$A$9:$D$314,4,FALSE)*$C$315,0)</f>
        <v>960018</v>
      </c>
      <c r="D132" s="25">
        <f>ROUND(VLOOKUP(A132,'Contribution Allocation_Report'!$A$9:$D$314,4,FALSE)*$D$315,0)</f>
        <v>748658</v>
      </c>
      <c r="E132" s="25">
        <f>ROUND(VLOOKUP(A132,'Contribution Allocation_Report'!$A$9:$D$314,4,FALSE)*$E$315,0)</f>
        <v>572599</v>
      </c>
      <c r="J132" s="53"/>
      <c r="K132" s="168"/>
    </row>
    <row r="133" spans="1:11">
      <c r="A133" s="22">
        <v>7420</v>
      </c>
      <c r="B133" s="23" t="s">
        <v>120</v>
      </c>
      <c r="C133" s="26">
        <f>ROUND(VLOOKUP(A133,'Contribution Allocation_Report'!$A$9:$D$314,4,FALSE)*$C$315,0)</f>
        <v>565021</v>
      </c>
      <c r="D133" s="26">
        <f>ROUND(VLOOKUP(A133,'Contribution Allocation_Report'!$A$9:$D$314,4,FALSE)*$D$315,0)</f>
        <v>440625</v>
      </c>
      <c r="E133" s="26">
        <f>ROUND(VLOOKUP(A133,'Contribution Allocation_Report'!$A$9:$D$314,4,FALSE)*$E$315,0)</f>
        <v>337005</v>
      </c>
      <c r="J133" s="51"/>
      <c r="K133" s="168"/>
    </row>
    <row r="134" spans="1:11">
      <c r="A134" s="24">
        <v>6018</v>
      </c>
      <c r="B134" s="3" t="s">
        <v>121</v>
      </c>
      <c r="C134" s="25">
        <f>ROUND(VLOOKUP(A134,'Contribution Allocation_Report'!$A$9:$D$314,4,FALSE)*$C$315,0)</f>
        <v>2157872</v>
      </c>
      <c r="D134" s="25">
        <f>ROUND(VLOOKUP(A134,'Contribution Allocation_Report'!$A$9:$D$314,4,FALSE)*$D$315,0)</f>
        <v>1682789</v>
      </c>
      <c r="E134" s="25">
        <f>ROUND(VLOOKUP(A134,'Contribution Allocation_Report'!$A$9:$D$314,4,FALSE)*$E$315,0)</f>
        <v>1287055</v>
      </c>
      <c r="J134" s="53"/>
      <c r="K134" s="168"/>
    </row>
    <row r="135" spans="1:11">
      <c r="A135" s="22">
        <v>3321</v>
      </c>
      <c r="B135" s="23" t="s">
        <v>122</v>
      </c>
      <c r="C135" s="26">
        <f>ROUND(VLOOKUP(A135,'Contribution Allocation_Report'!$A$9:$D$314,4,FALSE)*$C$315,0)</f>
        <v>497974</v>
      </c>
      <c r="D135" s="26">
        <f>ROUND(VLOOKUP(A135,'Contribution Allocation_Report'!$A$9:$D$314,4,FALSE)*$D$315,0)</f>
        <v>388339</v>
      </c>
      <c r="E135" s="26">
        <f>ROUND(VLOOKUP(A135,'Contribution Allocation_Report'!$A$9:$D$314,4,FALSE)*$E$315,0)</f>
        <v>297015</v>
      </c>
      <c r="J135" s="51"/>
      <c r="K135" s="168"/>
    </row>
    <row r="136" spans="1:11">
      <c r="A136" s="24">
        <v>29122</v>
      </c>
      <c r="B136" s="3" t="s">
        <v>123</v>
      </c>
      <c r="C136" s="25">
        <f>ROUND(VLOOKUP(A136,'Contribution Allocation_Report'!$A$9:$D$314,4,FALSE)*$C$315,0)</f>
        <v>872069</v>
      </c>
      <c r="D136" s="25">
        <f>ROUND(VLOOKUP(A136,'Contribution Allocation_Report'!$A$9:$D$314,4,FALSE)*$D$315,0)</f>
        <v>680072</v>
      </c>
      <c r="E136" s="25">
        <f>ROUND(VLOOKUP(A136,'Contribution Allocation_Report'!$A$9:$D$314,4,FALSE)*$E$315,0)</f>
        <v>520142</v>
      </c>
      <c r="J136" s="53"/>
      <c r="K136" s="168"/>
    </row>
    <row r="137" spans="1:11">
      <c r="A137" s="22">
        <v>29088</v>
      </c>
      <c r="B137" s="23" t="s">
        <v>124</v>
      </c>
      <c r="C137" s="26">
        <f>ROUND(VLOOKUP(A137,'Contribution Allocation_Report'!$A$9:$D$314,4,FALSE)*$C$315,0)</f>
        <v>1126024</v>
      </c>
      <c r="D137" s="26">
        <f>ROUND(VLOOKUP(A137,'Contribution Allocation_Report'!$A$9:$D$314,4,FALSE)*$D$315,0)</f>
        <v>878115</v>
      </c>
      <c r="E137" s="26">
        <f>ROUND(VLOOKUP(A137,'Contribution Allocation_Report'!$A$9:$D$314,4,FALSE)*$E$315,0)</f>
        <v>671613</v>
      </c>
      <c r="J137" s="51"/>
      <c r="K137" s="168"/>
    </row>
    <row r="138" spans="1:11">
      <c r="A138" s="24">
        <v>7337</v>
      </c>
      <c r="B138" s="3" t="s">
        <v>125</v>
      </c>
      <c r="C138" s="25">
        <f>ROUND(VLOOKUP(A138,'Contribution Allocation_Report'!$A$9:$D$314,4,FALSE)*$C$315,0)</f>
        <v>228078</v>
      </c>
      <c r="D138" s="25">
        <f>ROUND(VLOOKUP(A138,'Contribution Allocation_Report'!$A$9:$D$314,4,FALSE)*$D$315,0)</f>
        <v>177864</v>
      </c>
      <c r="E138" s="25">
        <f>ROUND(VLOOKUP(A138,'Contribution Allocation_Report'!$A$9:$D$314,4,FALSE)*$E$315,0)</f>
        <v>136036</v>
      </c>
      <c r="J138" s="53"/>
      <c r="K138" s="168"/>
    </row>
    <row r="139" spans="1:11">
      <c r="A139" s="22">
        <v>2329</v>
      </c>
      <c r="B139" s="23" t="s">
        <v>126</v>
      </c>
      <c r="C139" s="26">
        <f>ROUND(VLOOKUP(A139,'Contribution Allocation_Report'!$A$9:$D$314,4,FALSE)*$C$315,0)</f>
        <v>585878</v>
      </c>
      <c r="D139" s="26">
        <f>ROUND(VLOOKUP(A139,'Contribution Allocation_Report'!$A$9:$D$314,4,FALSE)*$D$315,0)</f>
        <v>456890</v>
      </c>
      <c r="E139" s="26">
        <f>ROUND(VLOOKUP(A139,'Contribution Allocation_Report'!$A$9:$D$314,4,FALSE)*$E$315,0)</f>
        <v>349445</v>
      </c>
      <c r="J139" s="53"/>
      <c r="K139" s="168"/>
    </row>
    <row r="140" spans="1:11">
      <c r="A140" s="24">
        <v>4010</v>
      </c>
      <c r="B140" s="3" t="s">
        <v>129</v>
      </c>
      <c r="C140" s="25">
        <f>ROUND(VLOOKUP(A140,'Contribution Allocation_Report'!$A$9:$D$314,4,FALSE)*$C$315,0)</f>
        <v>585260</v>
      </c>
      <c r="D140" s="25">
        <f>ROUND(VLOOKUP(A140,'Contribution Allocation_Report'!$A$9:$D$314,4,FALSE)*$D$315,0)</f>
        <v>456408</v>
      </c>
      <c r="E140" s="25">
        <f>ROUND(VLOOKUP(A140,'Contribution Allocation_Report'!$A$9:$D$314,4,FALSE)*$E$315,0)</f>
        <v>349076</v>
      </c>
      <c r="J140" s="51"/>
      <c r="K140" s="168"/>
    </row>
    <row r="141" spans="1:11">
      <c r="A141" s="22">
        <v>7023</v>
      </c>
      <c r="B141" s="23" t="s">
        <v>130</v>
      </c>
      <c r="C141" s="26">
        <f>ROUND(VLOOKUP(A141,'Contribution Allocation_Report'!$A$9:$D$314,4,FALSE)*$C$315,0)</f>
        <v>64709789</v>
      </c>
      <c r="D141" s="26">
        <f>ROUND(VLOOKUP(A141,'Contribution Allocation_Report'!$A$9:$D$314,4,FALSE)*$D$315,0)</f>
        <v>50463115</v>
      </c>
      <c r="E141" s="26">
        <f>ROUND(VLOOKUP(A141,'Contribution Allocation_Report'!$A$9:$D$314,4,FALSE)*$E$315,0)</f>
        <v>38595919</v>
      </c>
      <c r="J141" s="53"/>
      <c r="K141" s="168"/>
    </row>
    <row r="142" spans="1:11">
      <c r="A142" s="24">
        <v>7338</v>
      </c>
      <c r="B142" s="3" t="s">
        <v>131</v>
      </c>
      <c r="C142" s="25">
        <f>ROUND(VLOOKUP(A142,'Contribution Allocation_Report'!$A$9:$D$314,4,FALSE)*$C$315,0)</f>
        <v>488701</v>
      </c>
      <c r="D142" s="25">
        <f>ROUND(VLOOKUP(A142,'Contribution Allocation_Report'!$A$9:$D$314,4,FALSE)*$D$315,0)</f>
        <v>381107</v>
      </c>
      <c r="E142" s="25">
        <f>ROUND(VLOOKUP(A142,'Contribution Allocation_Report'!$A$9:$D$314,4,FALSE)*$E$315,0)</f>
        <v>291484</v>
      </c>
      <c r="J142" s="51"/>
      <c r="K142" s="168"/>
    </row>
    <row r="143" spans="1:11">
      <c r="A143" s="22">
        <v>12037</v>
      </c>
      <c r="B143" s="23" t="s">
        <v>132</v>
      </c>
      <c r="C143" s="26">
        <f>ROUND(VLOOKUP(A143,'Contribution Allocation_Report'!$A$9:$D$314,4,FALSE)*$C$315,0)</f>
        <v>3476353</v>
      </c>
      <c r="D143" s="26">
        <f>ROUND(VLOOKUP(A143,'Contribution Allocation_Report'!$A$9:$D$314,4,FALSE)*$D$315,0)</f>
        <v>2710990</v>
      </c>
      <c r="E143" s="26">
        <f>ROUND(VLOOKUP(A143,'Contribution Allocation_Report'!$A$9:$D$314,4,FALSE)*$E$315,0)</f>
        <v>2073458</v>
      </c>
      <c r="J143" s="53"/>
      <c r="K143" s="168"/>
    </row>
    <row r="144" spans="1:11">
      <c r="A144" s="24">
        <v>3150</v>
      </c>
      <c r="B144" s="3" t="s">
        <v>133</v>
      </c>
      <c r="C144" s="25">
        <f>ROUND(VLOOKUP(A144,'Contribution Allocation_Report'!$A$9:$D$314,4,FALSE)*$C$315,0)</f>
        <v>8688586</v>
      </c>
      <c r="D144" s="25">
        <f>ROUND(VLOOKUP(A144,'Contribution Allocation_Report'!$A$9:$D$314,4,FALSE)*$D$315,0)</f>
        <v>6775684</v>
      </c>
      <c r="E144" s="25">
        <f>ROUND(VLOOKUP(A144,'Contribution Allocation_Report'!$A$9:$D$314,4,FALSE)*$E$315,0)</f>
        <v>5182275</v>
      </c>
      <c r="J144" s="51"/>
      <c r="K144" s="168"/>
    </row>
    <row r="145" spans="1:11">
      <c r="A145" s="22">
        <v>3160</v>
      </c>
      <c r="B145" s="23" t="s">
        <v>134</v>
      </c>
      <c r="C145" s="26">
        <f>ROUND(VLOOKUP(A145,'Contribution Allocation_Report'!$A$9:$D$314,4,FALSE)*$C$315,0)</f>
        <v>1741106</v>
      </c>
      <c r="D145" s="26">
        <f>ROUND(VLOOKUP(A145,'Contribution Allocation_Report'!$A$9:$D$314,4,FALSE)*$D$315,0)</f>
        <v>1357779</v>
      </c>
      <c r="E145" s="26">
        <f>ROUND(VLOOKUP(A145,'Contribution Allocation_Report'!$A$9:$D$314,4,FALSE)*$E$315,0)</f>
        <v>1038476</v>
      </c>
      <c r="J145" s="53"/>
      <c r="K145" s="168"/>
    </row>
    <row r="146" spans="1:11">
      <c r="A146" s="24">
        <v>10120</v>
      </c>
      <c r="B146" s="3" t="s">
        <v>135</v>
      </c>
      <c r="C146" s="25">
        <f>ROUND(VLOOKUP(A146,'Contribution Allocation_Report'!$A$9:$D$314,4,FALSE)*$C$315,0)</f>
        <v>897975</v>
      </c>
      <c r="D146" s="25">
        <f>ROUND(VLOOKUP(A146,'Contribution Allocation_Report'!$A$9:$D$314,4,FALSE)*$D$315,0)</f>
        <v>700275</v>
      </c>
      <c r="E146" s="25">
        <f>ROUND(VLOOKUP(A146,'Contribution Allocation_Report'!$A$9:$D$314,4,FALSE)*$E$315,0)</f>
        <v>535594</v>
      </c>
      <c r="J146" s="51"/>
      <c r="K146" s="168"/>
    </row>
    <row r="147" spans="1:11">
      <c r="A147" s="22">
        <v>23070</v>
      </c>
      <c r="B147" s="23" t="s">
        <v>136</v>
      </c>
      <c r="C147" s="26">
        <f>ROUND(VLOOKUP(A147,'Contribution Allocation_Report'!$A$9:$D$314,4,FALSE)*$C$315,0)</f>
        <v>1396847</v>
      </c>
      <c r="D147" s="26">
        <f>ROUND(VLOOKUP(A147,'Contribution Allocation_Report'!$A$9:$D$314,4,FALSE)*$D$315,0)</f>
        <v>1089313</v>
      </c>
      <c r="E147" s="26">
        <f>ROUND(VLOOKUP(A147,'Contribution Allocation_Report'!$A$9:$D$314,4,FALSE)*$E$315,0)</f>
        <v>833144</v>
      </c>
      <c r="J147" s="53"/>
      <c r="K147" s="168"/>
    </row>
    <row r="148" spans="1:11">
      <c r="A148" s="24">
        <v>3170</v>
      </c>
      <c r="B148" s="3" t="s">
        <v>137</v>
      </c>
      <c r="C148" s="25">
        <f>ROUND(VLOOKUP(A148,'Contribution Allocation_Report'!$A$9:$D$314,4,FALSE)*$C$315,0)</f>
        <v>20012602</v>
      </c>
      <c r="D148" s="25">
        <f>ROUND(VLOOKUP(A148,'Contribution Allocation_Report'!$A$9:$D$314,4,FALSE)*$D$315,0)</f>
        <v>15606575</v>
      </c>
      <c r="E148" s="25">
        <f>ROUND(VLOOKUP(A148,'Contribution Allocation_Report'!$A$9:$D$314,4,FALSE)*$E$315,0)</f>
        <v>11936444</v>
      </c>
      <c r="J148" s="51"/>
      <c r="K148" s="168"/>
    </row>
    <row r="149" spans="1:11">
      <c r="A149" s="22">
        <v>32093</v>
      </c>
      <c r="B149" s="23" t="s">
        <v>138</v>
      </c>
      <c r="C149" s="67">
        <f>ROUND(VLOOKUP(A149,'Contribution Allocation_Report'!$A$9:$D$314,4,FALSE)*$C$315,0)</f>
        <v>11741415</v>
      </c>
      <c r="D149" s="67">
        <f>ROUND(VLOOKUP(A149,'Contribution Allocation_Report'!$A$9:$D$314,4,FALSE)*$D$315,0)</f>
        <v>9156395</v>
      </c>
      <c r="E149" s="67">
        <f>ROUND(VLOOKUP(A149,'Contribution Allocation_Report'!$A$9:$D$314,4,FALSE)*$E$315,0)</f>
        <v>7003125</v>
      </c>
      <c r="J149" s="53"/>
      <c r="K149" s="168"/>
    </row>
    <row r="150" spans="1:11">
      <c r="A150" s="24">
        <v>14045</v>
      </c>
      <c r="B150" s="3" t="s">
        <v>139</v>
      </c>
      <c r="C150" s="25">
        <f>ROUND(VLOOKUP(A150,'Contribution Allocation_Report'!$A$9:$D$314,4,FALSE)*$C$315,0)</f>
        <v>22486530</v>
      </c>
      <c r="D150" s="25">
        <f>ROUND(VLOOKUP(A150,'Contribution Allocation_Report'!$A$9:$D$314,4,FALSE)*$D$315,0)</f>
        <v>17535837</v>
      </c>
      <c r="E150" s="25">
        <f>ROUND(VLOOKUP(A150,'Contribution Allocation_Report'!$A$9:$D$314,4,FALSE)*$E$315,0)</f>
        <v>13412009</v>
      </c>
      <c r="J150" s="51"/>
      <c r="K150" s="168"/>
    </row>
    <row r="151" spans="1:11">
      <c r="A151" s="22">
        <v>2322</v>
      </c>
      <c r="B151" s="23" t="s">
        <v>140</v>
      </c>
      <c r="C151" s="26">
        <f>ROUND(VLOOKUP(A151,'Contribution Allocation_Report'!$A$9:$D$314,4,FALSE)*$C$315,0)</f>
        <v>380101</v>
      </c>
      <c r="D151" s="26">
        <f>ROUND(VLOOKUP(A151,'Contribution Allocation_Report'!$A$9:$D$314,4,FALSE)*$D$315,0)</f>
        <v>296417</v>
      </c>
      <c r="E151" s="26">
        <f>ROUND(VLOOKUP(A151,'Contribution Allocation_Report'!$A$9:$D$314,4,FALSE)*$E$315,0)</f>
        <v>226710</v>
      </c>
      <c r="J151" s="53"/>
      <c r="K151" s="168"/>
    </row>
    <row r="152" spans="1:11">
      <c r="A152" s="24">
        <v>3006</v>
      </c>
      <c r="B152" s="3" t="s">
        <v>141</v>
      </c>
      <c r="C152" s="25">
        <f>ROUND(VLOOKUP(A152,'Contribution Allocation_Report'!$A$9:$D$314,4,FALSE)*$C$315,0)</f>
        <v>1932149</v>
      </c>
      <c r="D152" s="25">
        <f>ROUND(VLOOKUP(A152,'Contribution Allocation_Report'!$A$9:$D$314,4,FALSE)*$D$315,0)</f>
        <v>1506762</v>
      </c>
      <c r="E152" s="25">
        <f>ROUND(VLOOKUP(A152,'Contribution Allocation_Report'!$A$9:$D$314,4,FALSE)*$E$315,0)</f>
        <v>1152423</v>
      </c>
      <c r="J152" s="51"/>
      <c r="K152" s="168"/>
    </row>
    <row r="153" spans="1:11">
      <c r="A153" s="22">
        <v>6019</v>
      </c>
      <c r="B153" s="23" t="s">
        <v>142</v>
      </c>
      <c r="C153" s="26">
        <f>ROUND(VLOOKUP(A153,'Contribution Allocation_Report'!$A$9:$D$314,4,FALSE)*$C$315,0)</f>
        <v>9747960</v>
      </c>
      <c r="D153" s="26">
        <f>ROUND(VLOOKUP(A153,'Contribution Allocation_Report'!$A$9:$D$314,4,FALSE)*$D$315,0)</f>
        <v>7601824</v>
      </c>
      <c r="E153" s="26">
        <f>ROUND(VLOOKUP(A153,'Contribution Allocation_Report'!$A$9:$D$314,4,FALSE)*$E$315,0)</f>
        <v>5814135</v>
      </c>
      <c r="J153" s="53"/>
      <c r="K153" s="168"/>
    </row>
    <row r="154" spans="1:11">
      <c r="A154" s="24">
        <v>12128</v>
      </c>
      <c r="B154" s="3" t="s">
        <v>143</v>
      </c>
      <c r="C154" s="25">
        <f>ROUND(VLOOKUP(A154,'Contribution Allocation_Report'!$A$9:$D$314,4,FALSE)*$C$315,0)</f>
        <v>1939244</v>
      </c>
      <c r="D154" s="25">
        <f>ROUND(VLOOKUP(A154,'Contribution Allocation_Report'!$A$9:$D$314,4,FALSE)*$D$315,0)</f>
        <v>1512295</v>
      </c>
      <c r="E154" s="25">
        <f>ROUND(VLOOKUP(A154,'Contribution Allocation_Report'!$A$9:$D$314,4,FALSE)*$E$315,0)</f>
        <v>1156655</v>
      </c>
      <c r="J154" s="51"/>
      <c r="K154" s="168"/>
    </row>
    <row r="155" spans="1:11">
      <c r="A155" s="22">
        <v>3180</v>
      </c>
      <c r="B155" s="23" t="s">
        <v>144</v>
      </c>
      <c r="C155" s="26">
        <f>ROUND(VLOOKUP(A155,'Contribution Allocation_Report'!$A$9:$D$314,4,FALSE)*$C$315,0)</f>
        <v>3427617</v>
      </c>
      <c r="D155" s="26">
        <f>ROUND(VLOOKUP(A155,'Contribution Allocation_Report'!$A$9:$D$314,4,FALSE)*$D$315,0)</f>
        <v>2672984</v>
      </c>
      <c r="E155" s="26">
        <f>ROUND(VLOOKUP(A155,'Contribution Allocation_Report'!$A$9:$D$314,4,FALSE)*$E$315,0)</f>
        <v>2044390</v>
      </c>
      <c r="J155" s="53"/>
      <c r="K155" s="168"/>
    </row>
    <row r="156" spans="1:11">
      <c r="A156" s="24">
        <v>25075</v>
      </c>
      <c r="B156" s="3" t="s">
        <v>145</v>
      </c>
      <c r="C156" s="25">
        <f>ROUND(VLOOKUP(A156,'Contribution Allocation_Report'!$A$9:$D$314,4,FALSE)*$C$315,0)</f>
        <v>1310856</v>
      </c>
      <c r="D156" s="25">
        <f>ROUND(VLOOKUP(A156,'Contribution Allocation_Report'!$A$9:$D$314,4,FALSE)*$D$315,0)</f>
        <v>1022254</v>
      </c>
      <c r="E156" s="25">
        <f>ROUND(VLOOKUP(A156,'Contribution Allocation_Report'!$A$9:$D$314,4,FALSE)*$E$315,0)</f>
        <v>781855</v>
      </c>
      <c r="J156" s="51"/>
      <c r="K156" s="168"/>
    </row>
    <row r="157" spans="1:11">
      <c r="A157" s="22">
        <v>2311</v>
      </c>
      <c r="B157" s="23" t="s">
        <v>411</v>
      </c>
      <c r="C157" s="26">
        <f>ROUND(VLOOKUP(A157,'Contribution Allocation_Report'!$A$9:$D$314,4,FALSE)*$C$315,0)</f>
        <v>646670</v>
      </c>
      <c r="D157" s="26">
        <f>ROUND(VLOOKUP(A157,'Contribution Allocation_Report'!$A$9:$D$314,4,FALSE)*$D$315,0)</f>
        <v>504297</v>
      </c>
      <c r="E157" s="26">
        <f>ROUND(VLOOKUP(A157,'Contribution Allocation_Report'!$A$9:$D$314,4,FALSE)*$E$315,0)</f>
        <v>385704</v>
      </c>
      <c r="J157" s="53"/>
      <c r="K157" s="168"/>
    </row>
    <row r="158" spans="1:11">
      <c r="A158" s="24">
        <v>9028</v>
      </c>
      <c r="B158" s="3" t="s">
        <v>146</v>
      </c>
      <c r="C158" s="25">
        <f>ROUND(VLOOKUP(A158,'Contribution Allocation_Report'!$A$9:$D$314,4,FALSE)*$C$315,0)</f>
        <v>528281</v>
      </c>
      <c r="D158" s="25">
        <f>ROUND(VLOOKUP(A158,'Contribution Allocation_Report'!$A$9:$D$314,4,FALSE)*$D$315,0)</f>
        <v>411973</v>
      </c>
      <c r="E158" s="25">
        <f>ROUND(VLOOKUP(A158,'Contribution Allocation_Report'!$A$9:$D$314,4,FALSE)*$E$315,0)</f>
        <v>315091</v>
      </c>
      <c r="J158" s="51"/>
      <c r="K158" s="168"/>
    </row>
    <row r="159" spans="1:11">
      <c r="A159" s="22">
        <v>17424</v>
      </c>
      <c r="B159" s="23" t="s">
        <v>147</v>
      </c>
      <c r="C159" s="26">
        <f>ROUND(VLOOKUP(A159,'Contribution Allocation_Report'!$A$9:$D$314,4,FALSE)*$C$315,0)</f>
        <v>1079054</v>
      </c>
      <c r="D159" s="26">
        <f>ROUND(VLOOKUP(A159,'Contribution Allocation_Report'!$A$9:$D$314,4,FALSE)*$D$315,0)</f>
        <v>841487</v>
      </c>
      <c r="E159" s="26">
        <f>ROUND(VLOOKUP(A159,'Contribution Allocation_Report'!$A$9:$D$314,4,FALSE)*$E$315,0)</f>
        <v>643598</v>
      </c>
      <c r="J159" s="53"/>
      <c r="K159" s="168"/>
    </row>
    <row r="160" spans="1:11">
      <c r="A160" s="24">
        <v>3200</v>
      </c>
      <c r="B160" s="3" t="s">
        <v>148</v>
      </c>
      <c r="C160" s="25">
        <f>ROUND(VLOOKUP(A160,'Contribution Allocation_Report'!$A$9:$D$314,4,FALSE)*$C$315,0)</f>
        <v>3752828</v>
      </c>
      <c r="D160" s="25">
        <f>ROUND(VLOOKUP(A160,'Contribution Allocation_Report'!$A$9:$D$314,4,FALSE)*$D$315,0)</f>
        <v>2926596</v>
      </c>
      <c r="E160" s="25">
        <f>ROUND(VLOOKUP(A160,'Contribution Allocation_Report'!$A$9:$D$314,4,FALSE)*$E$315,0)</f>
        <v>2238361</v>
      </c>
      <c r="J160" s="51"/>
      <c r="K160" s="168"/>
    </row>
    <row r="161" spans="1:11">
      <c r="A161" s="22">
        <v>2365</v>
      </c>
      <c r="B161" s="23" t="s">
        <v>149</v>
      </c>
      <c r="C161" s="26">
        <f>ROUND(VLOOKUP(A161,'Contribution Allocation_Report'!$A$9:$D$314,4,FALSE)*$C$315,0)</f>
        <v>358978</v>
      </c>
      <c r="D161" s="26">
        <f>ROUND(VLOOKUP(A161,'Contribution Allocation_Report'!$A$9:$D$314,4,FALSE)*$D$315,0)</f>
        <v>279945</v>
      </c>
      <c r="E161" s="26">
        <f>ROUND(VLOOKUP(A161,'Contribution Allocation_Report'!$A$9:$D$314,4,FALSE)*$E$315,0)</f>
        <v>214111</v>
      </c>
      <c r="J161" s="53"/>
      <c r="K161" s="168"/>
    </row>
    <row r="162" spans="1:11">
      <c r="A162" s="24">
        <v>5014</v>
      </c>
      <c r="B162" s="3" t="s">
        <v>150</v>
      </c>
      <c r="C162" s="25">
        <f>ROUND(VLOOKUP(A162,'Contribution Allocation_Report'!$A$9:$D$314,4,FALSE)*$C$315,0)</f>
        <v>774685</v>
      </c>
      <c r="D162" s="25">
        <f>ROUND(VLOOKUP(A162,'Contribution Allocation_Report'!$A$9:$D$314,4,FALSE)*$D$315,0)</f>
        <v>604128</v>
      </c>
      <c r="E162" s="25">
        <f>ROUND(VLOOKUP(A162,'Contribution Allocation_Report'!$A$9:$D$314,4,FALSE)*$E$315,0)</f>
        <v>462058</v>
      </c>
      <c r="J162" s="51"/>
      <c r="K162" s="168"/>
    </row>
    <row r="163" spans="1:11">
      <c r="A163" s="22">
        <v>17127</v>
      </c>
      <c r="B163" s="23" t="s">
        <v>151</v>
      </c>
      <c r="C163" s="26">
        <f>ROUND(VLOOKUP(A163,'Contribution Allocation_Report'!$A$9:$D$314,4,FALSE)*$C$315,0)</f>
        <v>802254</v>
      </c>
      <c r="D163" s="26">
        <f>ROUND(VLOOKUP(A163,'Contribution Allocation_Report'!$A$9:$D$314,4,FALSE)*$D$315,0)</f>
        <v>625628</v>
      </c>
      <c r="E163" s="26">
        <f>ROUND(VLOOKUP(A163,'Contribution Allocation_Report'!$A$9:$D$314,4,FALSE)*$E$315,0)</f>
        <v>478502</v>
      </c>
      <c r="J163" s="53"/>
      <c r="K163" s="168"/>
    </row>
    <row r="164" spans="1:11">
      <c r="A164" s="24">
        <v>10141</v>
      </c>
      <c r="B164" s="3" t="s">
        <v>152</v>
      </c>
      <c r="C164" s="25">
        <f>ROUND(VLOOKUP(A164,'Contribution Allocation_Report'!$A$9:$D$314,4,FALSE)*$C$315,0)</f>
        <v>1121961</v>
      </c>
      <c r="D164" s="25">
        <f>ROUND(VLOOKUP(A164,'Contribution Allocation_Report'!$A$9:$D$314,4,FALSE)*$D$315,0)</f>
        <v>874947</v>
      </c>
      <c r="E164" s="25">
        <f>ROUND(VLOOKUP(A164,'Contribution Allocation_Report'!$A$9:$D$314,4,FALSE)*$E$315,0)</f>
        <v>669190</v>
      </c>
      <c r="J164" s="53"/>
      <c r="K164" s="168"/>
    </row>
    <row r="165" spans="1:11">
      <c r="A165" s="22">
        <v>4570</v>
      </c>
      <c r="B165" s="23" t="s">
        <v>395</v>
      </c>
      <c r="C165" s="26">
        <f>ROUND(VLOOKUP(A165,'Contribution Allocation_Report'!$A$9:$D$314,4,FALSE)*$C$315,0)</f>
        <v>3069198</v>
      </c>
      <c r="D165" s="26">
        <f>ROUND(VLOOKUP(A165,'Contribution Allocation_Report'!$A$9:$D$314,4,FALSE)*$D$315,0)</f>
        <v>2393475</v>
      </c>
      <c r="E165" s="26">
        <f>ROUND(VLOOKUP(A165,'Contribution Allocation_Report'!$A$9:$D$314,4,FALSE)*$E$315,0)</f>
        <v>1830612</v>
      </c>
      <c r="J165" s="51"/>
      <c r="K165" s="168"/>
    </row>
    <row r="166" spans="1:11">
      <c r="A166" s="24">
        <v>13369</v>
      </c>
      <c r="B166" s="3" t="s">
        <v>153</v>
      </c>
      <c r="C166" s="25">
        <f>ROUND(VLOOKUP(A166,'Contribution Allocation_Report'!$A$9:$D$314,4,FALSE)*$C$315,0)</f>
        <v>271839</v>
      </c>
      <c r="D166" s="25">
        <f>ROUND(VLOOKUP(A166,'Contribution Allocation_Report'!$A$9:$D$314,4,FALSE)*$D$315,0)</f>
        <v>211990</v>
      </c>
      <c r="E166" s="25">
        <f>ROUND(VLOOKUP(A166,'Contribution Allocation_Report'!$A$9:$D$314,4,FALSE)*$E$315,0)</f>
        <v>162137</v>
      </c>
      <c r="J166" s="51"/>
      <c r="K166" s="168"/>
    </row>
    <row r="167" spans="1:11">
      <c r="A167" s="22">
        <v>2425</v>
      </c>
      <c r="B167" s="23" t="s">
        <v>154</v>
      </c>
      <c r="C167" s="26">
        <f>ROUND(VLOOKUP(A167,'Contribution Allocation_Report'!$A$9:$D$314,4,FALSE)*$C$315,0)</f>
        <v>4919551</v>
      </c>
      <c r="D167" s="26">
        <f>ROUND(VLOOKUP(A167,'Contribution Allocation_Report'!$A$9:$D$314,4,FALSE)*$D$315,0)</f>
        <v>3836450</v>
      </c>
      <c r="E167" s="26">
        <f>ROUND(VLOOKUP(A167,'Contribution Allocation_Report'!$A$9:$D$314,4,FALSE)*$E$315,0)</f>
        <v>2934248</v>
      </c>
      <c r="J167" s="53"/>
      <c r="K167" s="168"/>
    </row>
    <row r="168" spans="1:11">
      <c r="A168" s="24">
        <v>1306</v>
      </c>
      <c r="B168" s="3" t="s">
        <v>155</v>
      </c>
      <c r="C168" s="25">
        <f>ROUND(VLOOKUP(A168,'Contribution Allocation_Report'!$A$9:$D$314,4,FALSE)*$C$315,0)</f>
        <v>963742</v>
      </c>
      <c r="D168" s="25">
        <f>ROUND(VLOOKUP(A168,'Contribution Allocation_Report'!$A$9:$D$314,4,FALSE)*$D$315,0)</f>
        <v>751562</v>
      </c>
      <c r="E168" s="25">
        <f>ROUND(VLOOKUP(A168,'Contribution Allocation_Report'!$A$9:$D$314,4,FALSE)*$E$315,0)</f>
        <v>574820</v>
      </c>
      <c r="J168" s="51"/>
      <c r="K168" s="168"/>
    </row>
    <row r="169" spans="1:11">
      <c r="A169" s="22">
        <v>2351</v>
      </c>
      <c r="B169" s="23" t="s">
        <v>156</v>
      </c>
      <c r="C169" s="26">
        <f>ROUND(VLOOKUP(A169,'Contribution Allocation_Report'!$A$9:$D$314,4,FALSE)*$C$315,0)</f>
        <v>952113</v>
      </c>
      <c r="D169" s="26">
        <f>ROUND(VLOOKUP(A169,'Contribution Allocation_Report'!$A$9:$D$314,4,FALSE)*$D$315,0)</f>
        <v>742494</v>
      </c>
      <c r="E169" s="26">
        <f>ROUND(VLOOKUP(A169,'Contribution Allocation_Report'!$A$9:$D$314,4,FALSE)*$E$315,0)</f>
        <v>567885</v>
      </c>
      <c r="J169" s="53"/>
      <c r="K169" s="168"/>
    </row>
    <row r="170" spans="1:11">
      <c r="A170" s="24">
        <v>2334</v>
      </c>
      <c r="B170" s="3" t="s">
        <v>157</v>
      </c>
      <c r="C170" s="25">
        <f>ROUND(VLOOKUP(A170,'Contribution Allocation_Report'!$A$9:$D$314,4,FALSE)*$C$315,0)</f>
        <v>627240</v>
      </c>
      <c r="D170" s="25">
        <f>ROUND(VLOOKUP(A170,'Contribution Allocation_Report'!$A$9:$D$314,4,FALSE)*$D$315,0)</f>
        <v>489145</v>
      </c>
      <c r="E170" s="25">
        <f>ROUND(VLOOKUP(A170,'Contribution Allocation_Report'!$A$9:$D$314,4,FALSE)*$E$315,0)</f>
        <v>374115</v>
      </c>
      <c r="J170" s="51"/>
      <c r="K170" s="168"/>
    </row>
    <row r="171" spans="1:11">
      <c r="A171" s="22">
        <v>30089</v>
      </c>
      <c r="B171" s="23" t="s">
        <v>158</v>
      </c>
      <c r="C171" s="26">
        <f>ROUND(VLOOKUP(A171,'Contribution Allocation_Report'!$A$9:$D$314,4,FALSE)*$C$315,0)</f>
        <v>1461215</v>
      </c>
      <c r="D171" s="26">
        <f>ROUND(VLOOKUP(A171,'Contribution Allocation_Report'!$A$9:$D$314,4,FALSE)*$D$315,0)</f>
        <v>1139510</v>
      </c>
      <c r="E171" s="26">
        <f>ROUND(VLOOKUP(A171,'Contribution Allocation_Report'!$A$9:$D$314,4,FALSE)*$E$315,0)</f>
        <v>871536</v>
      </c>
      <c r="J171" s="53"/>
      <c r="K171" s="168"/>
    </row>
    <row r="172" spans="1:11">
      <c r="A172" s="24">
        <v>9324</v>
      </c>
      <c r="B172" s="3" t="s">
        <v>159</v>
      </c>
      <c r="C172" s="25">
        <f>ROUND(VLOOKUP(A172,'Contribution Allocation_Report'!$A$9:$D$314,4,FALSE)*$C$315,0)</f>
        <v>154392</v>
      </c>
      <c r="D172" s="25">
        <f>ROUND(VLOOKUP(A172,'Contribution Allocation_Report'!$A$9:$D$314,4,FALSE)*$D$315,0)</f>
        <v>120401</v>
      </c>
      <c r="E172" s="25">
        <f>ROUND(VLOOKUP(A172,'Contribution Allocation_Report'!$A$9:$D$314,4,FALSE)*$E$315,0)</f>
        <v>92087</v>
      </c>
      <c r="J172" s="51"/>
      <c r="K172" s="168"/>
    </row>
    <row r="173" spans="1:11">
      <c r="A173" s="22">
        <v>22066</v>
      </c>
      <c r="B173" s="23" t="s">
        <v>160</v>
      </c>
      <c r="C173" s="26">
        <f>ROUND(VLOOKUP(A173,'Contribution Allocation_Report'!$A$9:$D$314,4,FALSE)*$C$315,0)</f>
        <v>6846887</v>
      </c>
      <c r="D173" s="26">
        <f>ROUND(VLOOKUP(A173,'Contribution Allocation_Report'!$A$9:$D$314,4,FALSE)*$D$315,0)</f>
        <v>5339459</v>
      </c>
      <c r="E173" s="26">
        <f>ROUND(VLOOKUP(A173,'Contribution Allocation_Report'!$A$9:$D$314,4,FALSE)*$E$315,0)</f>
        <v>4083801</v>
      </c>
      <c r="J173" s="53"/>
      <c r="K173" s="168"/>
    </row>
    <row r="174" spans="1:11">
      <c r="A174" s="24">
        <v>16356</v>
      </c>
      <c r="B174" s="3" t="s">
        <v>161</v>
      </c>
      <c r="C174" s="25">
        <f>ROUND(VLOOKUP(A174,'Contribution Allocation_Report'!$A$9:$D$314,4,FALSE)*$C$315,0)</f>
        <v>456818</v>
      </c>
      <c r="D174" s="25">
        <f>ROUND(VLOOKUP(A174,'Contribution Allocation_Report'!$A$9:$D$314,4,FALSE)*$D$315,0)</f>
        <v>356244</v>
      </c>
      <c r="E174" s="25">
        <f>ROUND(VLOOKUP(A174,'Contribution Allocation_Report'!$A$9:$D$314,4,FALSE)*$E$315,0)</f>
        <v>272468</v>
      </c>
      <c r="J174" s="51"/>
      <c r="K174" s="168"/>
    </row>
    <row r="175" spans="1:11">
      <c r="A175" s="22">
        <v>31091</v>
      </c>
      <c r="B175" s="23" t="s">
        <v>162</v>
      </c>
      <c r="C175" s="26">
        <f>ROUND(VLOOKUP(A175,'Contribution Allocation_Report'!$A$9:$D$314,4,FALSE)*$C$315,0)</f>
        <v>409981</v>
      </c>
      <c r="D175" s="26">
        <f>ROUND(VLOOKUP(A175,'Contribution Allocation_Report'!$A$9:$D$314,4,FALSE)*$D$315,0)</f>
        <v>319719</v>
      </c>
      <c r="E175" s="26">
        <f>ROUND(VLOOKUP(A175,'Contribution Allocation_Report'!$A$9:$D$314,4,FALSE)*$E$315,0)</f>
        <v>244532</v>
      </c>
      <c r="J175" s="53"/>
      <c r="K175" s="168"/>
    </row>
    <row r="176" spans="1:11">
      <c r="A176" s="24">
        <v>2342</v>
      </c>
      <c r="B176" s="3" t="s">
        <v>163</v>
      </c>
      <c r="C176" s="25">
        <f>ROUND(VLOOKUP(A176,'Contribution Allocation_Report'!$A$9:$D$314,4,FALSE)*$C$315,0)</f>
        <v>698159</v>
      </c>
      <c r="D176" s="25">
        <f>ROUND(VLOOKUP(A176,'Contribution Allocation_Report'!$A$9:$D$314,4,FALSE)*$D$315,0)</f>
        <v>544450</v>
      </c>
      <c r="E176" s="25">
        <f>ROUND(VLOOKUP(A176,'Contribution Allocation_Report'!$A$9:$D$314,4,FALSE)*$E$315,0)</f>
        <v>416414</v>
      </c>
      <c r="J176" s="51"/>
      <c r="K176" s="168"/>
    </row>
    <row r="177" spans="1:11">
      <c r="A177" s="22">
        <v>22067</v>
      </c>
      <c r="B177" s="23" t="s">
        <v>164</v>
      </c>
      <c r="C177" s="26">
        <f>ROUND(VLOOKUP(A177,'Contribution Allocation_Report'!$A$9:$D$314,4,FALSE)*$C$315,0)</f>
        <v>842601</v>
      </c>
      <c r="D177" s="26">
        <f>ROUND(VLOOKUP(A177,'Contribution Allocation_Report'!$A$9:$D$314,4,FALSE)*$D$315,0)</f>
        <v>657091</v>
      </c>
      <c r="E177" s="26">
        <f>ROUND(VLOOKUP(A177,'Contribution Allocation_Report'!$A$9:$D$314,4,FALSE)*$E$315,0)</f>
        <v>502566</v>
      </c>
      <c r="J177" s="53"/>
      <c r="K177" s="168"/>
    </row>
    <row r="178" spans="1:11">
      <c r="A178" s="24">
        <v>25616</v>
      </c>
      <c r="B178" s="3" t="s">
        <v>165</v>
      </c>
      <c r="C178" s="25">
        <f>ROUND(VLOOKUP(A178,'Contribution Allocation_Report'!$A$9:$D$314,4,FALSE)*$C$315,0)</f>
        <v>337326</v>
      </c>
      <c r="D178" s="25">
        <f>ROUND(VLOOKUP(A178,'Contribution Allocation_Report'!$A$9:$D$314,4,FALSE)*$D$315,0)</f>
        <v>263059</v>
      </c>
      <c r="E178" s="25">
        <f>ROUND(VLOOKUP(A178,'Contribution Allocation_Report'!$A$9:$D$314,4,FALSE)*$E$315,0)</f>
        <v>201197</v>
      </c>
      <c r="J178" s="51"/>
      <c r="K178" s="168"/>
    </row>
    <row r="179" spans="1:11">
      <c r="A179" s="22">
        <v>2354</v>
      </c>
      <c r="B179" s="23" t="s">
        <v>166</v>
      </c>
      <c r="C179" s="26">
        <f>ROUND(VLOOKUP(A179,'Contribution Allocation_Report'!$A$9:$D$314,4,FALSE)*$C$315,0)</f>
        <v>1435412</v>
      </c>
      <c r="D179" s="26">
        <f>ROUND(VLOOKUP(A179,'Contribution Allocation_Report'!$A$9:$D$314,4,FALSE)*$D$315,0)</f>
        <v>1119388</v>
      </c>
      <c r="E179" s="26">
        <f>ROUND(VLOOKUP(A179,'Contribution Allocation_Report'!$A$9:$D$314,4,FALSE)*$E$315,0)</f>
        <v>856146</v>
      </c>
      <c r="J179" s="53"/>
      <c r="K179" s="168"/>
    </row>
    <row r="180" spans="1:11">
      <c r="A180" s="24">
        <v>2148</v>
      </c>
      <c r="B180" s="3" t="s">
        <v>167</v>
      </c>
      <c r="C180" s="25">
        <f>ROUND(VLOOKUP(A180,'Contribution Allocation_Report'!$A$9:$D$314,4,FALSE)*$C$315,0)</f>
        <v>394320</v>
      </c>
      <c r="D180" s="25">
        <f>ROUND(VLOOKUP(A180,'Contribution Allocation_Report'!$A$9:$D$314,4,FALSE)*$D$315,0)</f>
        <v>307505</v>
      </c>
      <c r="E180" s="25">
        <f>ROUND(VLOOKUP(A180,'Contribution Allocation_Report'!$A$9:$D$314,4,FALSE)*$E$315,0)</f>
        <v>235190</v>
      </c>
      <c r="J180" s="51"/>
      <c r="K180" s="168"/>
    </row>
    <row r="181" spans="1:11">
      <c r="A181" s="22">
        <v>1418</v>
      </c>
      <c r="B181" s="23" t="s">
        <v>168</v>
      </c>
      <c r="C181" s="26">
        <f>ROUND(VLOOKUP(A181,'Contribution Allocation_Report'!$A$9:$D$314,4,FALSE)*$C$315,0)</f>
        <v>2096654</v>
      </c>
      <c r="D181" s="26">
        <f>ROUND(VLOOKUP(A181,'Contribution Allocation_Report'!$A$9:$D$314,4,FALSE)*$D$315,0)</f>
        <v>1635049</v>
      </c>
      <c r="E181" s="26">
        <f>ROUND(VLOOKUP(A181,'Contribution Allocation_Report'!$A$9:$D$314,4,FALSE)*$E$315,0)</f>
        <v>1250542</v>
      </c>
      <c r="J181" s="53"/>
      <c r="K181" s="168"/>
    </row>
    <row r="182" spans="1:11">
      <c r="A182" s="24">
        <v>12102</v>
      </c>
      <c r="B182" s="3" t="s">
        <v>169</v>
      </c>
      <c r="C182" s="25">
        <f>ROUND(VLOOKUP(A182,'Contribution Allocation_Report'!$A$9:$D$314,4,FALSE)*$C$315,0)</f>
        <v>10548227</v>
      </c>
      <c r="D182" s="25">
        <f>ROUND(VLOOKUP(A182,'Contribution Allocation_Report'!$A$9:$D$314,4,FALSE)*$D$315,0)</f>
        <v>8225902</v>
      </c>
      <c r="E182" s="25">
        <f>ROUND(VLOOKUP(A182,'Contribution Allocation_Report'!$A$9:$D$314,4,FALSE)*$E$315,0)</f>
        <v>6291452</v>
      </c>
      <c r="J182" s="51"/>
      <c r="K182" s="168"/>
    </row>
    <row r="183" spans="1:11">
      <c r="A183" s="22">
        <v>2414</v>
      </c>
      <c r="B183" s="23" t="s">
        <v>170</v>
      </c>
      <c r="C183" s="26">
        <f>ROUND(VLOOKUP(A183,'Contribution Allocation_Report'!$A$9:$D$314,4,FALSE)*$C$315,0)</f>
        <v>1026756</v>
      </c>
      <c r="D183" s="26">
        <f>ROUND(VLOOKUP(A183,'Contribution Allocation_Report'!$A$9:$D$314,4,FALSE)*$D$315,0)</f>
        <v>800702</v>
      </c>
      <c r="E183" s="26">
        <f>ROUND(VLOOKUP(A183,'Contribution Allocation_Report'!$A$9:$D$314,4,FALSE)*$E$315,0)</f>
        <v>612405</v>
      </c>
      <c r="J183" s="53"/>
      <c r="K183" s="168"/>
    </row>
    <row r="184" spans="1:11">
      <c r="A184" s="24">
        <v>6124</v>
      </c>
      <c r="B184" s="3" t="s">
        <v>171</v>
      </c>
      <c r="C184" s="25">
        <f>ROUND(VLOOKUP(A184,'Contribution Allocation_Report'!$A$9:$D$314,4,FALSE)*$C$315,0)</f>
        <v>6084523</v>
      </c>
      <c r="D184" s="25">
        <f>ROUND(VLOOKUP(A184,'Contribution Allocation_Report'!$A$9:$D$314,4,FALSE)*$D$315,0)</f>
        <v>4744938</v>
      </c>
      <c r="E184" s="25">
        <f>ROUND(VLOOKUP(A184,'Contribution Allocation_Report'!$A$9:$D$314,4,FALSE)*$E$315,0)</f>
        <v>3629091</v>
      </c>
      <c r="J184" s="51"/>
      <c r="K184" s="168"/>
    </row>
    <row r="185" spans="1:11">
      <c r="A185" s="22">
        <v>4097</v>
      </c>
      <c r="B185" s="23" t="s">
        <v>172</v>
      </c>
      <c r="C185" s="26">
        <f>ROUND(VLOOKUP(A185,'Contribution Allocation_Report'!$A$9:$D$314,4,FALSE)*$C$315,0)</f>
        <v>5679958</v>
      </c>
      <c r="D185" s="26">
        <f>ROUND(VLOOKUP(A185,'Contribution Allocation_Report'!$A$9:$D$314,4,FALSE)*$D$315,0)</f>
        <v>4429444</v>
      </c>
      <c r="E185" s="26">
        <f>ROUND(VLOOKUP(A185,'Contribution Allocation_Report'!$A$9:$D$314,4,FALSE)*$E$315,0)</f>
        <v>3387791</v>
      </c>
      <c r="J185" s="53"/>
      <c r="K185" s="168"/>
    </row>
    <row r="186" spans="1:11">
      <c r="A186" s="24">
        <v>1416</v>
      </c>
      <c r="B186" s="3" t="s">
        <v>173</v>
      </c>
      <c r="C186" s="25">
        <f>ROUND(VLOOKUP(A186,'Contribution Allocation_Report'!$A$9:$D$314,4,FALSE)*$C$315,0)</f>
        <v>926987</v>
      </c>
      <c r="D186" s="25">
        <f>ROUND(VLOOKUP(A186,'Contribution Allocation_Report'!$A$9:$D$314,4,FALSE)*$D$315,0)</f>
        <v>722899</v>
      </c>
      <c r="E186" s="25">
        <f>ROUND(VLOOKUP(A186,'Contribution Allocation_Report'!$A$9:$D$314,4,FALSE)*$E$315,0)</f>
        <v>552898</v>
      </c>
      <c r="J186" s="51"/>
      <c r="K186" s="168"/>
    </row>
    <row r="187" spans="1:11">
      <c r="A187" s="22">
        <v>1094</v>
      </c>
      <c r="B187" s="23" t="s">
        <v>174</v>
      </c>
      <c r="C187" s="26">
        <f>ROUND(VLOOKUP(A187,'Contribution Allocation_Report'!$A$9:$D$314,4,FALSE)*$C$315,0)</f>
        <v>3797546</v>
      </c>
      <c r="D187" s="26">
        <f>ROUND(VLOOKUP(A187,'Contribution Allocation_Report'!$A$9:$D$314,4,FALSE)*$D$315,0)</f>
        <v>2961468</v>
      </c>
      <c r="E187" s="26">
        <f>ROUND(VLOOKUP(A187,'Contribution Allocation_Report'!$A$9:$D$314,4,FALSE)*$E$315,0)</f>
        <v>2265033</v>
      </c>
      <c r="J187" s="53"/>
      <c r="K187" s="168"/>
    </row>
    <row r="188" spans="1:11">
      <c r="A188" s="24">
        <v>15104</v>
      </c>
      <c r="B188" s="3" t="s">
        <v>175</v>
      </c>
      <c r="C188" s="25">
        <f>ROUND(VLOOKUP(A188,'Contribution Allocation_Report'!$A$9:$D$314,4,FALSE)*$C$315,0)</f>
        <v>3842720</v>
      </c>
      <c r="D188" s="25">
        <f>ROUND(VLOOKUP(A188,'Contribution Allocation_Report'!$A$9:$D$314,4,FALSE)*$D$315,0)</f>
        <v>2996697</v>
      </c>
      <c r="E188" s="25">
        <f>ROUND(VLOOKUP(A188,'Contribution Allocation_Report'!$A$9:$D$314,4,FALSE)*$E$315,0)</f>
        <v>2291976</v>
      </c>
      <c r="J188" s="51"/>
      <c r="K188" s="168"/>
    </row>
    <row r="189" spans="1:11">
      <c r="A189" s="22">
        <v>2520</v>
      </c>
      <c r="B189" s="23" t="s">
        <v>176</v>
      </c>
      <c r="C189" s="26">
        <f>ROUND(VLOOKUP(A189,'Contribution Allocation_Report'!$A$9:$D$314,4,FALSE)*$C$315,0)</f>
        <v>783943</v>
      </c>
      <c r="D189" s="26">
        <f>ROUND(VLOOKUP(A189,'Contribution Allocation_Report'!$A$9:$D$314,4,FALSE)*$D$315,0)</f>
        <v>611348</v>
      </c>
      <c r="E189" s="26">
        <f>ROUND(VLOOKUP(A189,'Contribution Allocation_Report'!$A$9:$D$314,4,FALSE)*$E$315,0)</f>
        <v>467580</v>
      </c>
      <c r="J189" s="53"/>
      <c r="K189" s="168"/>
    </row>
    <row r="190" spans="1:11">
      <c r="A190" s="24">
        <v>3450</v>
      </c>
      <c r="B190" s="3" t="s">
        <v>177</v>
      </c>
      <c r="C190" s="25">
        <f>ROUND(VLOOKUP(A190,'Contribution Allocation_Report'!$A$9:$D$314,4,FALSE)*$C$315,0)</f>
        <v>1415864</v>
      </c>
      <c r="D190" s="25">
        <f>ROUND(VLOOKUP(A190,'Contribution Allocation_Report'!$A$9:$D$314,4,FALSE)*$D$315,0)</f>
        <v>1104144</v>
      </c>
      <c r="E190" s="25">
        <f>ROUND(VLOOKUP(A190,'Contribution Allocation_Report'!$A$9:$D$314,4,FALSE)*$E$315,0)</f>
        <v>844487</v>
      </c>
      <c r="J190" s="51"/>
      <c r="K190" s="168"/>
    </row>
    <row r="191" spans="1:11">
      <c r="A191" s="22">
        <v>4310</v>
      </c>
      <c r="B191" s="23" t="s">
        <v>178</v>
      </c>
      <c r="C191" s="26">
        <f>ROUND(VLOOKUP(A191,'Contribution Allocation_Report'!$A$9:$D$314,4,FALSE)*$C$315,0)</f>
        <v>660006</v>
      </c>
      <c r="D191" s="26">
        <f>ROUND(VLOOKUP(A191,'Contribution Allocation_Report'!$A$9:$D$314,4,FALSE)*$D$315,0)</f>
        <v>514697</v>
      </c>
      <c r="E191" s="26">
        <f>ROUND(VLOOKUP(A191,'Contribution Allocation_Report'!$A$9:$D$314,4,FALSE)*$E$315,0)</f>
        <v>393658</v>
      </c>
      <c r="J191" s="53"/>
      <c r="K191" s="168"/>
    </row>
    <row r="192" spans="1:11">
      <c r="A192" s="24">
        <v>2328</v>
      </c>
      <c r="B192" s="3" t="s">
        <v>179</v>
      </c>
      <c r="C192" s="25">
        <f>ROUND(VLOOKUP(A192,'Contribution Allocation_Report'!$A$9:$D$314,4,FALSE)*$C$315,0)</f>
        <v>618261</v>
      </c>
      <c r="D192" s="25">
        <f>ROUND(VLOOKUP(A192,'Contribution Allocation_Report'!$A$9:$D$314,4,FALSE)*$D$315,0)</f>
        <v>482143</v>
      </c>
      <c r="E192" s="25">
        <f>ROUND(VLOOKUP(A192,'Contribution Allocation_Report'!$A$9:$D$314,4,FALSE)*$E$315,0)</f>
        <v>368760</v>
      </c>
      <c r="J192" s="51"/>
      <c r="K192" s="168"/>
    </row>
    <row r="193" spans="1:11">
      <c r="A193" s="22">
        <v>12151</v>
      </c>
      <c r="B193" s="23" t="s">
        <v>180</v>
      </c>
      <c r="C193" s="26">
        <f>ROUND(VLOOKUP(A193,'Contribution Allocation_Report'!$A$9:$D$314,4,FALSE)*$C$315,0)</f>
        <v>310536</v>
      </c>
      <c r="D193" s="26">
        <f>ROUND(VLOOKUP(A193,'Contribution Allocation_Report'!$A$9:$D$314,4,FALSE)*$D$315,0)</f>
        <v>242168</v>
      </c>
      <c r="E193" s="26">
        <f>ROUND(VLOOKUP(A193,'Contribution Allocation_Report'!$A$9:$D$314,4,FALSE)*$E$315,0)</f>
        <v>185218</v>
      </c>
      <c r="J193" s="53"/>
      <c r="K193" s="168"/>
    </row>
    <row r="194" spans="1:11">
      <c r="A194" s="24">
        <v>17105</v>
      </c>
      <c r="B194" s="3" t="s">
        <v>476</v>
      </c>
      <c r="C194" s="25">
        <f>ROUND(VLOOKUP(A194,'Contribution Allocation_Report'!$A$9:$D$314,4,FALSE)*$C$315,0)</f>
        <v>4238423</v>
      </c>
      <c r="D194" s="25">
        <f>ROUND(VLOOKUP(A194,'Contribution Allocation_Report'!$A$9:$D$314,4,FALSE)*$D$315,0)</f>
        <v>3305281</v>
      </c>
      <c r="E194" s="25">
        <f>ROUND(VLOOKUP(A194,'Contribution Allocation_Report'!$A$9:$D$314,4,FALSE)*$E$315,0)</f>
        <v>2527992</v>
      </c>
      <c r="J194" s="53"/>
      <c r="K194" s="168"/>
    </row>
    <row r="195" spans="1:11">
      <c r="A195" s="22">
        <v>4215</v>
      </c>
      <c r="B195" s="23" t="s">
        <v>446</v>
      </c>
      <c r="C195" s="26">
        <f>ROUND(VLOOKUP(A195,'Contribution Allocation_Report'!$A$9:$D$314,4,FALSE)*$C$315,0)</f>
        <v>517109</v>
      </c>
      <c r="D195" s="26">
        <f>ROUND(VLOOKUP(A195,'Contribution Allocation_Report'!$A$9:$D$314,4,FALSE)*$D$315,0)</f>
        <v>403261</v>
      </c>
      <c r="E195" s="26">
        <f>ROUND(VLOOKUP(A195,'Contribution Allocation_Report'!$A$9:$D$314,4,FALSE)*$E$315,0)</f>
        <v>308428</v>
      </c>
      <c r="J195" s="51"/>
      <c r="K195" s="168"/>
    </row>
    <row r="196" spans="1:11">
      <c r="A196" s="24" t="s">
        <v>785</v>
      </c>
      <c r="B196" s="3" t="s">
        <v>784</v>
      </c>
      <c r="C196" s="25">
        <f>ROUND(VLOOKUP(A196,'Contribution Allocation_Report'!$A$9:$D$314,4,FALSE)*$C$315,0)</f>
        <v>332601</v>
      </c>
      <c r="D196" s="25">
        <f>ROUND(VLOOKUP(A196,'Contribution Allocation_Report'!$A$9:$D$314,4,FALSE)*$D$315,0)</f>
        <v>259375</v>
      </c>
      <c r="E196" s="25">
        <f>ROUND(VLOOKUP(A196,'Contribution Allocation_Report'!$A$9:$D$314,4,FALSE)*$E$315,0)</f>
        <v>198379</v>
      </c>
      <c r="J196" s="53"/>
      <c r="K196" s="168"/>
    </row>
    <row r="197" spans="1:11">
      <c r="A197" s="22">
        <v>2870</v>
      </c>
      <c r="B197" s="23" t="s">
        <v>183</v>
      </c>
      <c r="C197" s="26">
        <f>ROUND(VLOOKUP(A197,'Contribution Allocation_Report'!$A$9:$D$314,4,FALSE)*$C$315,0)</f>
        <v>610960</v>
      </c>
      <c r="D197" s="26">
        <f>ROUND(VLOOKUP(A197,'Contribution Allocation_Report'!$A$9:$D$314,4,FALSE)*$D$315,0)</f>
        <v>476450</v>
      </c>
      <c r="E197" s="26">
        <f>ROUND(VLOOKUP(A197,'Contribution Allocation_Report'!$A$9:$D$314,4,FALSE)*$E$315,0)</f>
        <v>364405</v>
      </c>
      <c r="J197" s="51"/>
      <c r="K197" s="168"/>
    </row>
    <row r="198" spans="1:11">
      <c r="A198" s="24">
        <v>29150</v>
      </c>
      <c r="B198" s="3" t="s">
        <v>184</v>
      </c>
      <c r="C198" s="25">
        <f>ROUND(VLOOKUP(A198,'Contribution Allocation_Report'!$A$9:$D$314,4,FALSE)*$C$315,0)</f>
        <v>438566</v>
      </c>
      <c r="D198" s="25">
        <f>ROUND(VLOOKUP(A198,'Contribution Allocation_Report'!$A$9:$D$314,4,FALSE)*$D$315,0)</f>
        <v>342010</v>
      </c>
      <c r="E198" s="25">
        <f>ROUND(VLOOKUP(A198,'Contribution Allocation_Report'!$A$9:$D$314,4,FALSE)*$E$315,0)</f>
        <v>261581</v>
      </c>
      <c r="J198" s="53"/>
      <c r="K198" s="168"/>
    </row>
    <row r="199" spans="1:11">
      <c r="A199" s="22">
        <v>3433</v>
      </c>
      <c r="B199" s="23" t="s">
        <v>477</v>
      </c>
      <c r="C199" s="26">
        <f>ROUND(VLOOKUP(A199,'Contribution Allocation_Report'!$A$9:$D$314,4,FALSE)*$C$315,0)</f>
        <v>3224473</v>
      </c>
      <c r="D199" s="26">
        <f>ROUND(VLOOKUP(A199,'Contribution Allocation_Report'!$A$9:$D$314,4,FALSE)*$D$315,0)</f>
        <v>2514565</v>
      </c>
      <c r="E199" s="26">
        <f>ROUND(VLOOKUP(A199,'Contribution Allocation_Report'!$A$9:$D$314,4,FALSE)*$E$315,0)</f>
        <v>1923225</v>
      </c>
      <c r="J199" s="51"/>
      <c r="K199" s="168"/>
    </row>
    <row r="200" spans="1:11">
      <c r="A200" s="24">
        <v>12039</v>
      </c>
      <c r="B200" s="3" t="s">
        <v>187</v>
      </c>
      <c r="C200" s="25">
        <f>ROUND(VLOOKUP(A200,'Contribution Allocation_Report'!$A$9:$D$314,4,FALSE)*$C$315,0)</f>
        <v>1367217</v>
      </c>
      <c r="D200" s="25">
        <f>ROUND(VLOOKUP(A200,'Contribution Allocation_Report'!$A$9:$D$314,4,FALSE)*$D$315,0)</f>
        <v>1066207</v>
      </c>
      <c r="E200" s="25">
        <f>ROUND(VLOOKUP(A200,'Contribution Allocation_Report'!$A$9:$D$314,4,FALSE)*$E$315,0)</f>
        <v>815471</v>
      </c>
      <c r="J200" s="53"/>
      <c r="K200" s="168"/>
    </row>
    <row r="201" spans="1:11">
      <c r="A201" s="22">
        <v>12150</v>
      </c>
      <c r="B201" s="23" t="s">
        <v>188</v>
      </c>
      <c r="C201" s="26">
        <f>ROUND(VLOOKUP(A201,'Contribution Allocation_Report'!$A$9:$D$314,4,FALSE)*$C$315,0)</f>
        <v>273178</v>
      </c>
      <c r="D201" s="26">
        <f>ROUND(VLOOKUP(A201,'Contribution Allocation_Report'!$A$9:$D$314,4,FALSE)*$D$315,0)</f>
        <v>213035</v>
      </c>
      <c r="E201" s="26">
        <f>ROUND(VLOOKUP(A201,'Contribution Allocation_Report'!$A$9:$D$314,4,FALSE)*$E$315,0)</f>
        <v>162936</v>
      </c>
      <c r="J201" s="51"/>
      <c r="K201" s="168"/>
    </row>
    <row r="202" spans="1:11">
      <c r="A202" s="24">
        <v>20060</v>
      </c>
      <c r="B202" s="3" t="s">
        <v>189</v>
      </c>
      <c r="C202" s="25">
        <f>ROUND(VLOOKUP(A202,'Contribution Allocation_Report'!$A$9:$D$314,4,FALSE)*$C$315,0)</f>
        <v>1120371</v>
      </c>
      <c r="D202" s="25">
        <f>ROUND(VLOOKUP(A202,'Contribution Allocation_Report'!$A$9:$D$314,4,FALSE)*$D$315,0)</f>
        <v>873708</v>
      </c>
      <c r="E202" s="25">
        <f>ROUND(VLOOKUP(A202,'Contribution Allocation_Report'!$A$9:$D$314,4,FALSE)*$E$315,0)</f>
        <v>668241</v>
      </c>
      <c r="J202" s="53"/>
      <c r="K202" s="168"/>
    </row>
    <row r="203" spans="1:11">
      <c r="A203" s="22">
        <v>1001</v>
      </c>
      <c r="B203" s="23" t="s">
        <v>190</v>
      </c>
      <c r="C203" s="26">
        <f>ROUND(VLOOKUP(A203,'Contribution Allocation_Report'!$A$9:$D$314,4,FALSE)*$C$315,0)</f>
        <v>4381496</v>
      </c>
      <c r="D203" s="26">
        <f>ROUND(VLOOKUP(A203,'Contribution Allocation_Report'!$A$9:$D$314,4,FALSE)*$D$315,0)</f>
        <v>3416855</v>
      </c>
      <c r="E203" s="26">
        <f>ROUND(VLOOKUP(A203,'Contribution Allocation_Report'!$A$9:$D$314,4,FALSE)*$E$315,0)</f>
        <v>2613328</v>
      </c>
      <c r="J203" s="51"/>
      <c r="K203" s="168"/>
    </row>
    <row r="204" spans="1:11">
      <c r="A204" s="24">
        <v>11035</v>
      </c>
      <c r="B204" s="3" t="s">
        <v>191</v>
      </c>
      <c r="C204" s="25">
        <f>ROUND(VLOOKUP(A204,'Contribution Allocation_Report'!$A$9:$D$314,4,FALSE)*$C$315,0)</f>
        <v>7524012</v>
      </c>
      <c r="D204" s="25">
        <f>ROUND(VLOOKUP(A204,'Contribution Allocation_Report'!$A$9:$D$314,4,FALSE)*$D$315,0)</f>
        <v>5867506</v>
      </c>
      <c r="E204" s="25">
        <f>ROUND(VLOOKUP(A204,'Contribution Allocation_Report'!$A$9:$D$314,4,FALSE)*$E$315,0)</f>
        <v>4487670</v>
      </c>
      <c r="J204" s="53"/>
      <c r="K204" s="168"/>
    </row>
    <row r="205" spans="1:11">
      <c r="A205" s="22">
        <v>2320</v>
      </c>
      <c r="B205" s="23" t="s">
        <v>192</v>
      </c>
      <c r="C205" s="26">
        <f>ROUND(VLOOKUP(A205,'Contribution Allocation_Report'!$A$9:$D$314,4,FALSE)*$C$315,0)</f>
        <v>884198</v>
      </c>
      <c r="D205" s="26">
        <f>ROUND(VLOOKUP(A205,'Contribution Allocation_Report'!$A$9:$D$314,4,FALSE)*$D$315,0)</f>
        <v>689530</v>
      </c>
      <c r="E205" s="26">
        <f>ROUND(VLOOKUP(A205,'Contribution Allocation_Report'!$A$9:$D$314,4,FALSE)*$E$315,0)</f>
        <v>527377</v>
      </c>
      <c r="J205" s="51"/>
      <c r="K205" s="168"/>
    </row>
    <row r="206" spans="1:11">
      <c r="A206" s="24">
        <v>28084</v>
      </c>
      <c r="B206" s="3" t="s">
        <v>193</v>
      </c>
      <c r="C206" s="25">
        <f>ROUND(VLOOKUP(A206,'Contribution Allocation_Report'!$A$9:$D$314,4,FALSE)*$C$315,0)</f>
        <v>788536</v>
      </c>
      <c r="D206" s="25">
        <f>ROUND(VLOOKUP(A206,'Contribution Allocation_Report'!$A$9:$D$314,4,FALSE)*$D$315,0)</f>
        <v>614930</v>
      </c>
      <c r="E206" s="25">
        <f>ROUND(VLOOKUP(A206,'Contribution Allocation_Report'!$A$9:$D$314,4,FALSE)*$E$315,0)</f>
        <v>470319</v>
      </c>
      <c r="J206" s="53"/>
      <c r="K206" s="168"/>
    </row>
    <row r="207" spans="1:11">
      <c r="A207" s="22">
        <v>20125</v>
      </c>
      <c r="B207" s="23" t="s">
        <v>194</v>
      </c>
      <c r="C207" s="26">
        <f>ROUND(VLOOKUP(A207,'Contribution Allocation_Report'!$A$9:$D$314,4,FALSE)*$C$315,0)</f>
        <v>1095908</v>
      </c>
      <c r="D207" s="26">
        <f>ROUND(VLOOKUP(A207,'Contribution Allocation_Report'!$A$9:$D$314,4,FALSE)*$D$315,0)</f>
        <v>854630</v>
      </c>
      <c r="E207" s="26">
        <f>ROUND(VLOOKUP(A207,'Contribution Allocation_Report'!$A$9:$D$314,4,FALSE)*$E$315,0)</f>
        <v>653650</v>
      </c>
      <c r="J207" s="51"/>
      <c r="K207" s="168"/>
    </row>
    <row r="208" spans="1:11">
      <c r="A208" s="24">
        <v>7445</v>
      </c>
      <c r="B208" s="3" t="s">
        <v>401</v>
      </c>
      <c r="C208" s="25">
        <f>ROUND(VLOOKUP(A208,'Contribution Allocation_Report'!$A$9:$D$314,4,FALSE)*$C$315,0)</f>
        <v>430559</v>
      </c>
      <c r="D208" s="25">
        <f>ROUND(VLOOKUP(A208,'Contribution Allocation_Report'!$A$9:$D$314,4,FALSE)*$D$315,0)</f>
        <v>335766</v>
      </c>
      <c r="E208" s="25">
        <f>ROUND(VLOOKUP(A208,'Contribution Allocation_Report'!$A$9:$D$314,4,FALSE)*$E$315,0)</f>
        <v>256805</v>
      </c>
      <c r="J208" s="53"/>
      <c r="K208" s="168"/>
    </row>
    <row r="209" spans="1:11">
      <c r="A209" s="22">
        <v>9029</v>
      </c>
      <c r="B209" s="23" t="s">
        <v>196</v>
      </c>
      <c r="C209" s="26">
        <f>ROUND(VLOOKUP(A209,'Contribution Allocation_Report'!$A$9:$D$314,4,FALSE)*$C$315,0)</f>
        <v>2285902</v>
      </c>
      <c r="D209" s="26">
        <f>ROUND(VLOOKUP(A209,'Contribution Allocation_Report'!$A$9:$D$314,4,FALSE)*$D$315,0)</f>
        <v>1782632</v>
      </c>
      <c r="E209" s="26">
        <f>ROUND(VLOOKUP(A209,'Contribution Allocation_Report'!$A$9:$D$314,4,FALSE)*$E$315,0)</f>
        <v>1363418</v>
      </c>
      <c r="J209" s="51"/>
      <c r="K209" s="168"/>
    </row>
    <row r="210" spans="1:11">
      <c r="A210" s="24">
        <v>2580</v>
      </c>
      <c r="B210" s="3" t="s">
        <v>197</v>
      </c>
      <c r="C210" s="25">
        <f>ROUND(VLOOKUP(A210,'Contribution Allocation_Report'!$A$9:$D$314,4,FALSE)*$C$315,0)</f>
        <v>289164</v>
      </c>
      <c r="D210" s="25">
        <f>ROUND(VLOOKUP(A210,'Contribution Allocation_Report'!$A$9:$D$314,4,FALSE)*$D$315,0)</f>
        <v>225501</v>
      </c>
      <c r="E210" s="25">
        <f>ROUND(VLOOKUP(A210,'Contribution Allocation_Report'!$A$9:$D$314,4,FALSE)*$E$315,0)</f>
        <v>172471</v>
      </c>
      <c r="J210" s="53"/>
      <c r="K210" s="168"/>
    </row>
    <row r="211" spans="1:11">
      <c r="A211" s="22">
        <v>20312</v>
      </c>
      <c r="B211" s="23" t="s">
        <v>198</v>
      </c>
      <c r="C211" s="26">
        <f>ROUND(VLOOKUP(A211,'Contribution Allocation_Report'!$A$9:$D$314,4,FALSE)*$C$315,0)</f>
        <v>231920</v>
      </c>
      <c r="D211" s="26">
        <f>ROUND(VLOOKUP(A211,'Contribution Allocation_Report'!$A$9:$D$314,4,FALSE)*$D$315,0)</f>
        <v>180860</v>
      </c>
      <c r="E211" s="26">
        <f>ROUND(VLOOKUP(A211,'Contribution Allocation_Report'!$A$9:$D$314,4,FALSE)*$E$315,0)</f>
        <v>138328</v>
      </c>
      <c r="J211" s="51"/>
      <c r="K211" s="168"/>
    </row>
    <row r="212" spans="1:11">
      <c r="A212" s="24">
        <v>26150</v>
      </c>
      <c r="B212" s="3" t="s">
        <v>199</v>
      </c>
      <c r="C212" s="25">
        <f>ROUND(VLOOKUP(A212,'Contribution Allocation_Report'!$A$9:$D$314,4,FALSE)*$C$315,0)</f>
        <v>1910262</v>
      </c>
      <c r="D212" s="25">
        <f>ROUND(VLOOKUP(A212,'Contribution Allocation_Report'!$A$9:$D$314,4,FALSE)*$D$315,0)</f>
        <v>1489693</v>
      </c>
      <c r="E212" s="25">
        <f>ROUND(VLOOKUP(A212,'Contribution Allocation_Report'!$A$9:$D$314,4,FALSE)*$E$315,0)</f>
        <v>1139369</v>
      </c>
      <c r="J212" s="53"/>
      <c r="K212" s="168"/>
    </row>
    <row r="213" spans="1:11">
      <c r="A213" s="22">
        <v>5016</v>
      </c>
      <c r="B213" s="23" t="s">
        <v>200</v>
      </c>
      <c r="C213" s="26">
        <f>ROUND(VLOOKUP(A213,'Contribution Allocation_Report'!$A$9:$D$314,4,FALSE)*$C$315,0)</f>
        <v>237557</v>
      </c>
      <c r="D213" s="26">
        <f>ROUND(VLOOKUP(A213,'Contribution Allocation_Report'!$A$9:$D$314,4,FALSE)*$D$315,0)</f>
        <v>185256</v>
      </c>
      <c r="E213" s="26">
        <f>ROUND(VLOOKUP(A213,'Contribution Allocation_Report'!$A$9:$D$314,4,FALSE)*$E$315,0)</f>
        <v>141690</v>
      </c>
      <c r="J213" s="51"/>
      <c r="K213" s="168"/>
    </row>
    <row r="214" spans="1:11">
      <c r="A214" s="24">
        <v>6150</v>
      </c>
      <c r="B214" s="3" t="s">
        <v>201</v>
      </c>
      <c r="C214" s="25">
        <f>ROUND(VLOOKUP(A214,'Contribution Allocation_Report'!$A$9:$D$314,4,FALSE)*$C$315,0)</f>
        <v>179371</v>
      </c>
      <c r="D214" s="25">
        <f>ROUND(VLOOKUP(A214,'Contribution Allocation_Report'!$A$9:$D$314,4,FALSE)*$D$315,0)</f>
        <v>139880</v>
      </c>
      <c r="E214" s="25">
        <f>ROUND(VLOOKUP(A214,'Contribution Allocation_Report'!$A$9:$D$314,4,FALSE)*$E$315,0)</f>
        <v>106985</v>
      </c>
      <c r="J214" s="53"/>
      <c r="K214" s="168"/>
    </row>
    <row r="215" spans="1:11">
      <c r="A215" s="22">
        <v>4480</v>
      </c>
      <c r="B215" s="23" t="s">
        <v>202</v>
      </c>
      <c r="C215" s="26">
        <f>ROUND(VLOOKUP(A215,'Contribution Allocation_Report'!$A$9:$D$314,4,FALSE)*$C$315,0)</f>
        <v>340108</v>
      </c>
      <c r="D215" s="26">
        <f>ROUND(VLOOKUP(A215,'Contribution Allocation_Report'!$A$9:$D$314,4,FALSE)*$D$315,0)</f>
        <v>265229</v>
      </c>
      <c r="E215" s="26">
        <f>ROUND(VLOOKUP(A215,'Contribution Allocation_Report'!$A$9:$D$314,4,FALSE)*$E$315,0)</f>
        <v>202856</v>
      </c>
      <c r="J215" s="51"/>
      <c r="K215" s="168"/>
    </row>
    <row r="216" spans="1:11">
      <c r="A216" s="24">
        <v>28085</v>
      </c>
      <c r="B216" s="3" t="s">
        <v>203</v>
      </c>
      <c r="C216" s="25">
        <f>ROUND(VLOOKUP(A216,'Contribution Allocation_Report'!$A$9:$D$314,4,FALSE)*$C$315,0)</f>
        <v>614493</v>
      </c>
      <c r="D216" s="25">
        <f>ROUND(VLOOKUP(A216,'Contribution Allocation_Report'!$A$9:$D$314,4,FALSE)*$D$315,0)</f>
        <v>479205</v>
      </c>
      <c r="E216" s="25">
        <f>ROUND(VLOOKUP(A216,'Contribution Allocation_Report'!$A$9:$D$314,4,FALSE)*$E$315,0)</f>
        <v>366512</v>
      </c>
      <c r="J216" s="53"/>
      <c r="K216" s="168"/>
    </row>
    <row r="217" spans="1:11">
      <c r="A217" s="22">
        <v>3240</v>
      </c>
      <c r="B217" s="23" t="s">
        <v>204</v>
      </c>
      <c r="C217" s="26">
        <f>ROUND(VLOOKUP(A217,'Contribution Allocation_Report'!$A$9:$D$314,4,FALSE)*$C$315,0)</f>
        <v>3872512</v>
      </c>
      <c r="D217" s="26">
        <f>ROUND(VLOOKUP(A217,'Contribution Allocation_Report'!$A$9:$D$314,4,FALSE)*$D$315,0)</f>
        <v>3019930</v>
      </c>
      <c r="E217" s="26">
        <f>ROUND(VLOOKUP(A217,'Contribution Allocation_Report'!$A$9:$D$314,4,FALSE)*$E$315,0)</f>
        <v>2309746</v>
      </c>
      <c r="J217" s="51"/>
      <c r="K217" s="168"/>
    </row>
    <row r="218" spans="1:11">
      <c r="A218" s="24">
        <v>12326</v>
      </c>
      <c r="B218" s="3" t="s">
        <v>205</v>
      </c>
      <c r="C218" s="25">
        <f>ROUND(VLOOKUP(A218,'Contribution Allocation_Report'!$A$9:$D$314,4,FALSE)*$C$315,0)</f>
        <v>256855</v>
      </c>
      <c r="D218" s="25">
        <f>ROUND(VLOOKUP(A218,'Contribution Allocation_Report'!$A$9:$D$314,4,FALSE)*$D$315,0)</f>
        <v>200305</v>
      </c>
      <c r="E218" s="25">
        <f>ROUND(VLOOKUP(A218,'Contribution Allocation_Report'!$A$9:$D$314,4,FALSE)*$E$315,0)</f>
        <v>153200</v>
      </c>
      <c r="J218" s="53"/>
      <c r="K218" s="168"/>
    </row>
    <row r="219" spans="1:11">
      <c r="A219" s="22">
        <v>2445</v>
      </c>
      <c r="B219" s="23" t="s">
        <v>427</v>
      </c>
      <c r="C219" s="67">
        <f>ROUND(VLOOKUP(A219,'Contribution Allocation_Report'!$A$9:$D$314,4,FALSE)*$C$315,0)</f>
        <v>402091</v>
      </c>
      <c r="D219" s="67">
        <f>ROUND(VLOOKUP(A219,'Contribution Allocation_Report'!$A$9:$D$314,4,FALSE)*$D$315,0)</f>
        <v>313566</v>
      </c>
      <c r="E219" s="67">
        <f>ROUND(VLOOKUP(A219,'Contribution Allocation_Report'!$A$9:$D$314,4,FALSE)*$E$315,0)</f>
        <v>239826</v>
      </c>
      <c r="J219" s="51"/>
      <c r="K219" s="168"/>
    </row>
    <row r="220" spans="1:11">
      <c r="A220" s="24">
        <v>29123</v>
      </c>
      <c r="B220" s="3" t="s">
        <v>206</v>
      </c>
      <c r="C220" s="25">
        <f>ROUND(VLOOKUP(A220,'Contribution Allocation_Report'!$A$9:$D$314,4,FALSE)*$C$315,0)</f>
        <v>44928151</v>
      </c>
      <c r="D220" s="25">
        <f>ROUND(VLOOKUP(A220,'Contribution Allocation_Report'!$A$9:$D$314,4,FALSE)*$D$315,0)</f>
        <v>35036653</v>
      </c>
      <c r="E220" s="25">
        <f>ROUND(VLOOKUP(A220,'Contribution Allocation_Report'!$A$9:$D$314,4,FALSE)*$E$315,0)</f>
        <v>26797233</v>
      </c>
      <c r="J220" s="53"/>
      <c r="K220" s="168"/>
    </row>
    <row r="221" spans="1:11">
      <c r="A221" s="22">
        <v>2318</v>
      </c>
      <c r="B221" s="23" t="s">
        <v>207</v>
      </c>
      <c r="C221" s="26">
        <f>ROUND(VLOOKUP(A221,'Contribution Allocation_Report'!$A$9:$D$314,4,FALSE)*$C$315,0)</f>
        <v>860190</v>
      </c>
      <c r="D221" s="26">
        <f>ROUND(VLOOKUP(A221,'Contribution Allocation_Report'!$A$9:$D$314,4,FALSE)*$D$315,0)</f>
        <v>670809</v>
      </c>
      <c r="E221" s="26">
        <f>ROUND(VLOOKUP(A221,'Contribution Allocation_Report'!$A$9:$D$314,4,FALSE)*$E$315,0)</f>
        <v>513057</v>
      </c>
      <c r="J221" s="51"/>
      <c r="K221" s="168"/>
    </row>
    <row r="222" spans="1:11">
      <c r="A222" s="24">
        <v>3250</v>
      </c>
      <c r="B222" s="3" t="s">
        <v>208</v>
      </c>
      <c r="C222" s="25">
        <f>ROUND(VLOOKUP(A222,'Contribution Allocation_Report'!$A$9:$D$314,4,FALSE)*$C$315,0)</f>
        <v>1290882</v>
      </c>
      <c r="D222" s="25">
        <f>ROUND(VLOOKUP(A222,'Contribution Allocation_Report'!$A$9:$D$314,4,FALSE)*$D$315,0)</f>
        <v>1006678</v>
      </c>
      <c r="E222" s="25">
        <f>ROUND(VLOOKUP(A222,'Contribution Allocation_Report'!$A$9:$D$314,4,FALSE)*$E$315,0)</f>
        <v>769942</v>
      </c>
      <c r="J222" s="53"/>
      <c r="K222" s="168"/>
    </row>
    <row r="223" spans="1:11">
      <c r="A223" s="22">
        <v>2313</v>
      </c>
      <c r="B223" s="23" t="s">
        <v>209</v>
      </c>
      <c r="C223" s="26">
        <f>ROUND(VLOOKUP(A223,'Contribution Allocation_Report'!$A$9:$D$314,4,FALSE)*$C$315,0)</f>
        <v>170304</v>
      </c>
      <c r="D223" s="26">
        <f>ROUND(VLOOKUP(A223,'Contribution Allocation_Report'!$A$9:$D$314,4,FALSE)*$D$315,0)</f>
        <v>132810</v>
      </c>
      <c r="E223" s="26">
        <f>ROUND(VLOOKUP(A223,'Contribution Allocation_Report'!$A$9:$D$314,4,FALSE)*$E$315,0)</f>
        <v>101577</v>
      </c>
      <c r="J223" s="51"/>
      <c r="K223" s="168"/>
    </row>
    <row r="224" spans="1:11">
      <c r="A224" s="24">
        <v>4011</v>
      </c>
      <c r="B224" s="3" t="s">
        <v>210</v>
      </c>
      <c r="C224" s="25">
        <f>ROUND(VLOOKUP(A224,'Contribution Allocation_Report'!$A$9:$D$314,4,FALSE)*$C$315,0)</f>
        <v>25616475</v>
      </c>
      <c r="D224" s="25">
        <f>ROUND(VLOOKUP(A224,'Contribution Allocation_Report'!$A$9:$D$314,4,FALSE)*$D$315,0)</f>
        <v>19976686</v>
      </c>
      <c r="E224" s="25">
        <f>ROUND(VLOOKUP(A224,'Contribution Allocation_Report'!$A$9:$D$314,4,FALSE)*$E$315,0)</f>
        <v>15278854</v>
      </c>
      <c r="J224" s="53"/>
      <c r="K224" s="168"/>
    </row>
    <row r="225" spans="1:11">
      <c r="A225" s="22">
        <v>31092</v>
      </c>
      <c r="B225" s="23" t="s">
        <v>211</v>
      </c>
      <c r="C225" s="26">
        <f>ROUND(VLOOKUP(A225,'Contribution Allocation_Report'!$A$9:$D$314,4,FALSE)*$C$315,0)</f>
        <v>413602</v>
      </c>
      <c r="D225" s="26">
        <f>ROUND(VLOOKUP(A225,'Contribution Allocation_Report'!$A$9:$D$314,4,FALSE)*$D$315,0)</f>
        <v>322542</v>
      </c>
      <c r="E225" s="26">
        <f>ROUND(VLOOKUP(A225,'Contribution Allocation_Report'!$A$9:$D$314,4,FALSE)*$E$315,0)</f>
        <v>246691</v>
      </c>
      <c r="J225" s="51"/>
      <c r="K225" s="168"/>
    </row>
    <row r="226" spans="1:11">
      <c r="A226" s="24">
        <v>26081</v>
      </c>
      <c r="B226" s="3" t="s">
        <v>212</v>
      </c>
      <c r="C226" s="25">
        <f>ROUND(VLOOKUP(A226,'Contribution Allocation_Report'!$A$9:$D$314,4,FALSE)*$C$315,0)</f>
        <v>4409022</v>
      </c>
      <c r="D226" s="25">
        <f>ROUND(VLOOKUP(A226,'Contribution Allocation_Report'!$A$9:$D$314,4,FALSE)*$D$315,0)</f>
        <v>3438320</v>
      </c>
      <c r="E226" s="25">
        <f>ROUND(VLOOKUP(A226,'Contribution Allocation_Report'!$A$9:$D$314,4,FALSE)*$E$315,0)</f>
        <v>2629745</v>
      </c>
      <c r="J226" s="53"/>
      <c r="K226" s="168"/>
    </row>
    <row r="227" spans="1:11">
      <c r="A227" s="22">
        <v>29305</v>
      </c>
      <c r="B227" s="23" t="s">
        <v>213</v>
      </c>
      <c r="C227" s="26">
        <f>ROUND(VLOOKUP(A227,'Contribution Allocation_Report'!$A$9:$D$314,4,FALSE)*$C$315,0)</f>
        <v>238220</v>
      </c>
      <c r="D227" s="26">
        <f>ROUND(VLOOKUP(A227,'Contribution Allocation_Report'!$A$9:$D$314,4,FALSE)*$D$315,0)</f>
        <v>185773</v>
      </c>
      <c r="E227" s="26">
        <f>ROUND(VLOOKUP(A227,'Contribution Allocation_Report'!$A$9:$D$314,4,FALSE)*$E$315,0)</f>
        <v>142085</v>
      </c>
      <c r="J227" s="51"/>
      <c r="K227" s="168"/>
    </row>
    <row r="228" spans="1:11">
      <c r="A228" s="24">
        <v>10032</v>
      </c>
      <c r="B228" s="3" t="s">
        <v>214</v>
      </c>
      <c r="C228" s="25">
        <f>ROUND(VLOOKUP(A228,'Contribution Allocation_Report'!$A$9:$D$314,4,FALSE)*$C$315,0)</f>
        <v>561989</v>
      </c>
      <c r="D228" s="25">
        <f>ROUND(VLOOKUP(A228,'Contribution Allocation_Report'!$A$9:$D$314,4,FALSE)*$D$315,0)</f>
        <v>438260</v>
      </c>
      <c r="E228" s="25">
        <f>ROUND(VLOOKUP(A228,'Contribution Allocation_Report'!$A$9:$D$314,4,FALSE)*$E$315,0)</f>
        <v>335196</v>
      </c>
      <c r="J228" s="53"/>
      <c r="K228" s="168"/>
    </row>
    <row r="229" spans="1:11">
      <c r="A229" s="22">
        <v>32107</v>
      </c>
      <c r="B229" s="23" t="s">
        <v>215</v>
      </c>
      <c r="C229" s="26">
        <f>ROUND(VLOOKUP(A229,'Contribution Allocation_Report'!$A$9:$D$314,4,FALSE)*$C$315,0)</f>
        <v>717117</v>
      </c>
      <c r="D229" s="26">
        <f>ROUND(VLOOKUP(A229,'Contribution Allocation_Report'!$A$9:$D$314,4,FALSE)*$D$315,0)</f>
        <v>559235</v>
      </c>
      <c r="E229" s="26">
        <f>ROUND(VLOOKUP(A229,'Contribution Allocation_Report'!$A$9:$D$314,4,FALSE)*$E$315,0)</f>
        <v>427722</v>
      </c>
      <c r="J229" s="51"/>
      <c r="K229" s="168"/>
    </row>
    <row r="230" spans="1:11">
      <c r="A230" s="24">
        <v>3260</v>
      </c>
      <c r="B230" s="3" t="s">
        <v>216</v>
      </c>
      <c r="C230" s="25">
        <f>ROUND(VLOOKUP(A230,'Contribution Allocation_Report'!$A$9:$D$314,4,FALSE)*$C$315,0)</f>
        <v>10733398</v>
      </c>
      <c r="D230" s="25">
        <f>ROUND(VLOOKUP(A230,'Contribution Allocation_Report'!$A$9:$D$314,4,FALSE)*$D$315,0)</f>
        <v>8370305</v>
      </c>
      <c r="E230" s="25">
        <f>ROUND(VLOOKUP(A230,'Contribution Allocation_Report'!$A$9:$D$314,4,FALSE)*$E$315,0)</f>
        <v>6401896</v>
      </c>
      <c r="J230" s="53"/>
      <c r="K230" s="168"/>
    </row>
    <row r="231" spans="1:11">
      <c r="A231" s="22">
        <v>4390</v>
      </c>
      <c r="B231" s="23" t="s">
        <v>217</v>
      </c>
      <c r="C231" s="26">
        <f>ROUND(VLOOKUP(A231,'Contribution Allocation_Report'!$A$9:$D$314,4,FALSE)*$C$315,0)</f>
        <v>128810</v>
      </c>
      <c r="D231" s="26">
        <f>ROUND(VLOOKUP(A231,'Contribution Allocation_Report'!$A$9:$D$314,4,FALSE)*$D$315,0)</f>
        <v>100451</v>
      </c>
      <c r="E231" s="26">
        <f>ROUND(VLOOKUP(A231,'Contribution Allocation_Report'!$A$9:$D$314,4,FALSE)*$E$315,0)</f>
        <v>76828</v>
      </c>
      <c r="J231" s="51"/>
      <c r="K231" s="168"/>
    </row>
    <row r="232" spans="1:11">
      <c r="A232" s="24">
        <v>3270</v>
      </c>
      <c r="B232" s="3" t="s">
        <v>218</v>
      </c>
      <c r="C232" s="25">
        <f>ROUND(VLOOKUP(A232,'Contribution Allocation_Report'!$A$9:$D$314,4,FALSE)*$C$315,0)</f>
        <v>1638835</v>
      </c>
      <c r="D232" s="25">
        <f>ROUND(VLOOKUP(A232,'Contribution Allocation_Report'!$A$9:$D$314,4,FALSE)*$D$315,0)</f>
        <v>1278025</v>
      </c>
      <c r="E232" s="25">
        <f>ROUND(VLOOKUP(A232,'Contribution Allocation_Report'!$A$9:$D$314,4,FALSE)*$E$315,0)</f>
        <v>977477</v>
      </c>
      <c r="J232" s="53"/>
      <c r="K232" s="168"/>
    </row>
    <row r="233" spans="1:11">
      <c r="A233" s="22">
        <v>29303</v>
      </c>
      <c r="B233" s="23" t="s">
        <v>219</v>
      </c>
      <c r="C233" s="26">
        <f>ROUND(VLOOKUP(A233,'Contribution Allocation_Report'!$A$9:$D$314,4,FALSE)*$C$315,0)</f>
        <v>474805</v>
      </c>
      <c r="D233" s="26">
        <f>ROUND(VLOOKUP(A233,'Contribution Allocation_Report'!$A$9:$D$314,4,FALSE)*$D$315,0)</f>
        <v>370271</v>
      </c>
      <c r="E233" s="26">
        <f>ROUND(VLOOKUP(A233,'Contribution Allocation_Report'!$A$9:$D$314,4,FALSE)*$E$315,0)</f>
        <v>283196</v>
      </c>
      <c r="J233" s="51"/>
      <c r="K233" s="168"/>
    </row>
    <row r="234" spans="1:11">
      <c r="A234" s="24">
        <v>3280</v>
      </c>
      <c r="B234" s="3" t="s">
        <v>220</v>
      </c>
      <c r="C234" s="25">
        <f>ROUND(VLOOKUP(A234,'Contribution Allocation_Report'!$A$9:$D$314,4,FALSE)*$C$315,0)</f>
        <v>8422281</v>
      </c>
      <c r="D234" s="25">
        <f>ROUND(VLOOKUP(A234,'Contribution Allocation_Report'!$A$9:$D$314,4,FALSE)*$D$315,0)</f>
        <v>6568010</v>
      </c>
      <c r="E234" s="25">
        <f>ROUND(VLOOKUP(A234,'Contribution Allocation_Report'!$A$9:$D$314,4,FALSE)*$E$315,0)</f>
        <v>5023439</v>
      </c>
      <c r="J234" s="53"/>
      <c r="K234" s="168"/>
    </row>
    <row r="235" spans="1:11">
      <c r="A235" s="22">
        <v>4260</v>
      </c>
      <c r="B235" s="23" t="s">
        <v>221</v>
      </c>
      <c r="C235" s="26">
        <f>ROUND(VLOOKUP(A235,'Contribution Allocation_Report'!$A$9:$D$314,4,FALSE)*$C$315,0)</f>
        <v>613595</v>
      </c>
      <c r="D235" s="26">
        <f>ROUND(VLOOKUP(A235,'Contribution Allocation_Report'!$A$9:$D$314,4,FALSE)*$D$315,0)</f>
        <v>478505</v>
      </c>
      <c r="E235" s="26">
        <f>ROUND(VLOOKUP(A235,'Contribution Allocation_Report'!$A$9:$D$314,4,FALSE)*$E$315,0)</f>
        <v>365977</v>
      </c>
      <c r="J235" s="51"/>
      <c r="K235" s="168"/>
    </row>
    <row r="236" spans="1:11">
      <c r="A236" s="24">
        <v>1003</v>
      </c>
      <c r="B236" s="3" t="s">
        <v>222</v>
      </c>
      <c r="C236" s="25">
        <f>ROUND(VLOOKUP(A236,'Contribution Allocation_Report'!$A$9:$D$314,4,FALSE)*$C$315,0)</f>
        <v>9154604</v>
      </c>
      <c r="D236" s="25">
        <f>ROUND(VLOOKUP(A236,'Contribution Allocation_Report'!$A$9:$D$314,4,FALSE)*$D$315,0)</f>
        <v>7139102</v>
      </c>
      <c r="E236" s="25">
        <f>ROUND(VLOOKUP(A236,'Contribution Allocation_Report'!$A$9:$D$314,4,FALSE)*$E$315,0)</f>
        <v>5460230</v>
      </c>
      <c r="J236" s="53"/>
      <c r="K236" s="168"/>
    </row>
    <row r="237" spans="1:11">
      <c r="A237" s="22">
        <v>3290</v>
      </c>
      <c r="B237" s="23" t="s">
        <v>223</v>
      </c>
      <c r="C237" s="26">
        <f>ROUND(VLOOKUP(A237,'Contribution Allocation_Report'!$A$9:$D$314,4,FALSE)*$C$315,0)</f>
        <v>19369862</v>
      </c>
      <c r="D237" s="26">
        <f>ROUND(VLOOKUP(A237,'Contribution Allocation_Report'!$A$9:$D$314,4,FALSE)*$D$315,0)</f>
        <v>15105343</v>
      </c>
      <c r="E237" s="26">
        <f>ROUND(VLOOKUP(A237,'Contribution Allocation_Report'!$A$9:$D$314,4,FALSE)*$E$315,0)</f>
        <v>11553084</v>
      </c>
      <c r="J237" s="51"/>
      <c r="K237" s="168"/>
    </row>
    <row r="238" spans="1:11">
      <c r="A238" s="24">
        <v>1002</v>
      </c>
      <c r="B238" s="3" t="s">
        <v>224</v>
      </c>
      <c r="C238" s="25">
        <f>ROUND(VLOOKUP(A238,'Contribution Allocation_Report'!$A$9:$D$314,4,FALSE)*$C$315,0)</f>
        <v>29046491</v>
      </c>
      <c r="D238" s="25">
        <f>ROUND(VLOOKUP(A238,'Contribution Allocation_Report'!$A$9:$D$314,4,FALSE)*$D$315,0)</f>
        <v>22651540</v>
      </c>
      <c r="E238" s="25">
        <f>ROUND(VLOOKUP(A238,'Contribution Allocation_Report'!$A$9:$D$314,4,FALSE)*$E$315,0)</f>
        <v>17324674</v>
      </c>
      <c r="J238" s="53"/>
      <c r="K238" s="168"/>
    </row>
    <row r="239" spans="1:11">
      <c r="A239" s="22">
        <v>4270</v>
      </c>
      <c r="B239" s="23" t="s">
        <v>413</v>
      </c>
      <c r="C239" s="26">
        <f>ROUND(VLOOKUP(A239,'Contribution Allocation_Report'!$A$9:$D$314,4,FALSE)*$C$315,0)</f>
        <v>692035</v>
      </c>
      <c r="D239" s="26">
        <f>ROUND(VLOOKUP(A239,'Contribution Allocation_Report'!$A$9:$D$314,4,FALSE)*$D$315,0)</f>
        <v>539675</v>
      </c>
      <c r="E239" s="26">
        <f>ROUND(VLOOKUP(A239,'Contribution Allocation_Report'!$A$9:$D$314,4,FALSE)*$E$315,0)</f>
        <v>412762</v>
      </c>
      <c r="J239" s="51"/>
      <c r="K239" s="168"/>
    </row>
    <row r="240" spans="1:11">
      <c r="A240" s="24">
        <v>24072</v>
      </c>
      <c r="B240" s="3" t="s">
        <v>225</v>
      </c>
      <c r="C240" s="25">
        <f>ROUND(VLOOKUP(A240,'Contribution Allocation_Report'!$A$9:$D$314,4,FALSE)*$C$315,0)</f>
        <v>2265442</v>
      </c>
      <c r="D240" s="25">
        <f>ROUND(VLOOKUP(A240,'Contribution Allocation_Report'!$A$9:$D$314,4,FALSE)*$D$315,0)</f>
        <v>1766676</v>
      </c>
      <c r="E240" s="25">
        <f>ROUND(VLOOKUP(A240,'Contribution Allocation_Report'!$A$9:$D$314,4,FALSE)*$E$315,0)</f>
        <v>1351215</v>
      </c>
      <c r="J240" s="53"/>
      <c r="K240" s="168"/>
    </row>
    <row r="241" spans="1:11">
      <c r="A241" s="22">
        <v>14366</v>
      </c>
      <c r="B241" s="23" t="s">
        <v>226</v>
      </c>
      <c r="C241" s="26">
        <f>ROUND(VLOOKUP(A241,'Contribution Allocation_Report'!$A$9:$D$314,4,FALSE)*$C$315,0)</f>
        <v>1512012</v>
      </c>
      <c r="D241" s="26">
        <f>ROUND(VLOOKUP(A241,'Contribution Allocation_Report'!$A$9:$D$314,4,FALSE)*$D$315,0)</f>
        <v>1179123</v>
      </c>
      <c r="E241" s="26">
        <f>ROUND(VLOOKUP(A241,'Contribution Allocation_Report'!$A$9:$D$314,4,FALSE)*$E$315,0)</f>
        <v>901834</v>
      </c>
      <c r="J241" s="51"/>
      <c r="K241" s="168"/>
    </row>
    <row r="242" spans="1:11">
      <c r="A242" s="24">
        <v>4317</v>
      </c>
      <c r="B242" s="3" t="s">
        <v>227</v>
      </c>
      <c r="C242" s="25">
        <f>ROUND(VLOOKUP(A242,'Contribution Allocation_Report'!$A$9:$D$314,4,FALSE)*$C$315,0)</f>
        <v>433046</v>
      </c>
      <c r="D242" s="25">
        <f>ROUND(VLOOKUP(A242,'Contribution Allocation_Report'!$A$9:$D$314,4,FALSE)*$D$315,0)</f>
        <v>337706</v>
      </c>
      <c r="E242" s="25">
        <f>ROUND(VLOOKUP(A242,'Contribution Allocation_Report'!$A$9:$D$314,4,FALSE)*$E$315,0)</f>
        <v>258289</v>
      </c>
      <c r="J242" s="53"/>
      <c r="K242" s="168"/>
    </row>
    <row r="243" spans="1:11">
      <c r="A243" s="22">
        <v>2433</v>
      </c>
      <c r="B243" s="23" t="s">
        <v>228</v>
      </c>
      <c r="C243" s="26">
        <f>ROUND(VLOOKUP(A243,'Contribution Allocation_Report'!$A$9:$D$314,4,FALSE)*$C$315,0)</f>
        <v>1111422</v>
      </c>
      <c r="D243" s="26">
        <f>ROUND(VLOOKUP(A243,'Contribution Allocation_Report'!$A$9:$D$314,4,FALSE)*$D$315,0)</f>
        <v>866728</v>
      </c>
      <c r="E243" s="26">
        <f>ROUND(VLOOKUP(A243,'Contribution Allocation_Report'!$A$9:$D$314,4,FALSE)*$E$315,0)</f>
        <v>662904</v>
      </c>
      <c r="J243" s="51"/>
      <c r="K243" s="168"/>
    </row>
    <row r="244" spans="1:11">
      <c r="A244" s="24">
        <v>3300</v>
      </c>
      <c r="B244" s="3" t="s">
        <v>229</v>
      </c>
      <c r="C244" s="25">
        <f>ROUND(VLOOKUP(A244,'Contribution Allocation_Report'!$A$9:$D$314,4,FALSE)*$C$315,0)</f>
        <v>1353174</v>
      </c>
      <c r="D244" s="25">
        <f>ROUND(VLOOKUP(A244,'Contribution Allocation_Report'!$A$9:$D$314,4,FALSE)*$D$315,0)</f>
        <v>1055256</v>
      </c>
      <c r="E244" s="25">
        <f>ROUND(VLOOKUP(A244,'Contribution Allocation_Report'!$A$9:$D$314,4,FALSE)*$E$315,0)</f>
        <v>807096</v>
      </c>
      <c r="J244" s="53"/>
      <c r="K244" s="168"/>
    </row>
    <row r="245" spans="1:11">
      <c r="A245" s="22">
        <v>8026</v>
      </c>
      <c r="B245" s="23" t="s">
        <v>230</v>
      </c>
      <c r="C245" s="26">
        <f>ROUND(VLOOKUP(A245,'Contribution Allocation_Report'!$A$9:$D$314,4,FALSE)*$C$315,0)</f>
        <v>6395751</v>
      </c>
      <c r="D245" s="26">
        <f>ROUND(VLOOKUP(A245,'Contribution Allocation_Report'!$A$9:$D$314,4,FALSE)*$D$315,0)</f>
        <v>4987646</v>
      </c>
      <c r="E245" s="26">
        <f>ROUND(VLOOKUP(A245,'Contribution Allocation_Report'!$A$9:$D$314,4,FALSE)*$E$315,0)</f>
        <v>3814722</v>
      </c>
      <c r="J245" s="51"/>
      <c r="K245" s="168"/>
    </row>
    <row r="246" spans="1:11">
      <c r="A246" s="24">
        <v>13438</v>
      </c>
      <c r="B246" s="3" t="s">
        <v>231</v>
      </c>
      <c r="C246" s="25">
        <f>ROUND(VLOOKUP(A246,'Contribution Allocation_Report'!$A$9:$D$314,4,FALSE)*$C$315,0)</f>
        <v>201568</v>
      </c>
      <c r="D246" s="25">
        <f>ROUND(VLOOKUP(A246,'Contribution Allocation_Report'!$A$9:$D$314,4,FALSE)*$D$315,0)</f>
        <v>157190</v>
      </c>
      <c r="E246" s="25">
        <f>ROUND(VLOOKUP(A246,'Contribution Allocation_Report'!$A$9:$D$314,4,FALSE)*$E$315,0)</f>
        <v>120225</v>
      </c>
      <c r="J246" s="53"/>
      <c r="K246" s="168"/>
    </row>
    <row r="247" spans="1:11">
      <c r="A247" s="22">
        <v>25076</v>
      </c>
      <c r="B247" s="23" t="s">
        <v>232</v>
      </c>
      <c r="C247" s="26">
        <f>ROUND(VLOOKUP(A247,'Contribution Allocation_Report'!$A$9:$D$314,4,FALSE)*$C$315,0)</f>
        <v>3710937</v>
      </c>
      <c r="D247" s="26">
        <f>ROUND(VLOOKUP(A247,'Contribution Allocation_Report'!$A$9:$D$314,4,FALSE)*$D$315,0)</f>
        <v>2893927</v>
      </c>
      <c r="E247" s="26">
        <f>ROUND(VLOOKUP(A247,'Contribution Allocation_Report'!$A$9:$D$314,4,FALSE)*$E$315,0)</f>
        <v>2213375</v>
      </c>
      <c r="J247" s="51"/>
      <c r="K247" s="168"/>
    </row>
    <row r="248" spans="1:11">
      <c r="A248" s="24">
        <v>2440</v>
      </c>
      <c r="B248" s="3" t="s">
        <v>396</v>
      </c>
      <c r="C248" s="25">
        <f>ROUND(VLOOKUP(A248,'Contribution Allocation_Report'!$A$9:$D$314,4,FALSE)*$C$315,0)</f>
        <v>852595</v>
      </c>
      <c r="D248" s="25">
        <f>ROUND(VLOOKUP(A248,'Contribution Allocation_Report'!$A$9:$D$314,4,FALSE)*$D$315,0)</f>
        <v>664886</v>
      </c>
      <c r="E248" s="25">
        <f>ROUND(VLOOKUP(A248,'Contribution Allocation_Report'!$A$9:$D$314,4,FALSE)*$E$315,0)</f>
        <v>508527</v>
      </c>
      <c r="J248" s="53"/>
      <c r="K248" s="168"/>
    </row>
    <row r="249" spans="1:11">
      <c r="A249" s="22">
        <v>2309</v>
      </c>
      <c r="B249" s="23" t="s">
        <v>233</v>
      </c>
      <c r="C249" s="26">
        <f>ROUND(VLOOKUP(A249,'Contribution Allocation_Report'!$A$9:$D$314,4,FALSE)*$C$315,0)</f>
        <v>1665124</v>
      </c>
      <c r="D249" s="26">
        <f>ROUND(VLOOKUP(A249,'Contribution Allocation_Report'!$A$9:$D$314,4,FALSE)*$D$315,0)</f>
        <v>1298526</v>
      </c>
      <c r="E249" s="26">
        <f>ROUND(VLOOKUP(A249,'Contribution Allocation_Report'!$A$9:$D$314,4,FALSE)*$E$315,0)</f>
        <v>993157</v>
      </c>
      <c r="J249" s="53"/>
      <c r="K249" s="168"/>
    </row>
    <row r="250" spans="1:11">
      <c r="A250" s="24">
        <v>2396</v>
      </c>
      <c r="B250" s="3" t="s">
        <v>234</v>
      </c>
      <c r="C250" s="25">
        <f>ROUND(VLOOKUP(A250,'Contribution Allocation_Report'!$A$9:$D$314,4,FALSE)*$C$315,0)</f>
        <v>304310</v>
      </c>
      <c r="D250" s="25">
        <f>ROUND(VLOOKUP(A250,'Contribution Allocation_Report'!$A$9:$D$314,4,FALSE)*$D$315,0)</f>
        <v>237312</v>
      </c>
      <c r="E250" s="25">
        <f>ROUND(VLOOKUP(A250,'Contribution Allocation_Report'!$A$9:$D$314,4,FALSE)*$E$315,0)</f>
        <v>181505</v>
      </c>
      <c r="J250" s="51"/>
      <c r="K250" s="168"/>
    </row>
    <row r="251" spans="1:11">
      <c r="A251" s="22" t="s">
        <v>721</v>
      </c>
      <c r="B251" s="23" t="s">
        <v>455</v>
      </c>
      <c r="C251" s="26">
        <f>ROUND(VLOOKUP(A251,'Contribution Allocation_Report'!$A$9:$D$314,4,FALSE)*$C$315,0)</f>
        <v>3591429</v>
      </c>
      <c r="D251" s="26">
        <f>ROUND(VLOOKUP(A251,'Contribution Allocation_Report'!$A$9:$D$314,4,FALSE)*$D$315,0)</f>
        <v>2800731</v>
      </c>
      <c r="E251" s="26">
        <f>ROUND(VLOOKUP(A251,'Contribution Allocation_Report'!$A$9:$D$314,4,FALSE)*$E$315,0)</f>
        <v>2142095</v>
      </c>
      <c r="J251" s="53"/>
      <c r="K251" s="168"/>
    </row>
    <row r="252" spans="1:11">
      <c r="A252" s="24">
        <v>3380</v>
      </c>
      <c r="B252" s="3" t="s">
        <v>235</v>
      </c>
      <c r="C252" s="25">
        <f>ROUND(VLOOKUP(A252,'Contribution Allocation_Report'!$A$9:$D$314,4,FALSE)*$C$315,0)</f>
        <v>321988</v>
      </c>
      <c r="D252" s="25">
        <f>ROUND(VLOOKUP(A252,'Contribution Allocation_Report'!$A$9:$D$314,4,FALSE)*$D$315,0)</f>
        <v>251098</v>
      </c>
      <c r="E252" s="25">
        <f>ROUND(VLOOKUP(A252,'Contribution Allocation_Report'!$A$9:$D$314,4,FALSE)*$E$315,0)</f>
        <v>192049</v>
      </c>
      <c r="J252" s="51"/>
      <c r="K252" s="168"/>
    </row>
    <row r="253" spans="1:11">
      <c r="A253" s="22">
        <v>2420</v>
      </c>
      <c r="B253" s="23" t="s">
        <v>236</v>
      </c>
      <c r="C253" s="26">
        <f>ROUND(VLOOKUP(A253,'Contribution Allocation_Report'!$A$9:$D$314,4,FALSE)*$C$315,0)</f>
        <v>540881</v>
      </c>
      <c r="D253" s="26">
        <f>ROUND(VLOOKUP(A253,'Contribution Allocation_Report'!$A$9:$D$314,4,FALSE)*$D$315,0)</f>
        <v>421799</v>
      </c>
      <c r="E253" s="26">
        <f>ROUND(VLOOKUP(A253,'Contribution Allocation_Report'!$A$9:$D$314,4,FALSE)*$E$315,0)</f>
        <v>322607</v>
      </c>
      <c r="J253" s="53"/>
      <c r="K253" s="168"/>
    </row>
    <row r="254" spans="1:11">
      <c r="A254" s="24">
        <v>2740</v>
      </c>
      <c r="B254" s="3" t="s">
        <v>237</v>
      </c>
      <c r="C254" s="25">
        <f>ROUND(VLOOKUP(A254,'Contribution Allocation_Report'!$A$9:$D$314,4,FALSE)*$C$315,0)</f>
        <v>65296</v>
      </c>
      <c r="D254" s="25">
        <f>ROUND(VLOOKUP(A254,'Contribution Allocation_Report'!$A$9:$D$314,4,FALSE)*$D$315,0)</f>
        <v>50920</v>
      </c>
      <c r="E254" s="25">
        <f>ROUND(VLOOKUP(A254,'Contribution Allocation_Report'!$A$9:$D$314,4,FALSE)*$E$315,0)</f>
        <v>38945</v>
      </c>
      <c r="J254" s="51"/>
      <c r="K254" s="168"/>
    </row>
    <row r="255" spans="1:11">
      <c r="A255" s="22">
        <v>2346</v>
      </c>
      <c r="B255" s="23" t="s">
        <v>915</v>
      </c>
      <c r="C255" s="26">
        <f>ROUND(VLOOKUP(A255,'Contribution Allocation_Report'!$A$9:$D$314,4,FALSE)*$C$315,0)</f>
        <v>358890</v>
      </c>
      <c r="D255" s="26">
        <f>ROUND(VLOOKUP(A255,'Contribution Allocation_Report'!$A$9:$D$314,4,FALSE)*$D$315,0)</f>
        <v>279876</v>
      </c>
      <c r="E255" s="26">
        <f>ROUND(VLOOKUP(A255,'Contribution Allocation_Report'!$A$9:$D$314,4,FALSE)*$E$315,0)</f>
        <v>214059</v>
      </c>
      <c r="J255" s="53"/>
      <c r="K255" s="168"/>
    </row>
    <row r="256" spans="1:11">
      <c r="A256" s="24">
        <v>21150</v>
      </c>
      <c r="B256" s="3" t="s">
        <v>239</v>
      </c>
      <c r="C256" s="25">
        <f>ROUND(VLOOKUP(A256,'Contribution Allocation_Report'!$A$9:$D$314,4,FALSE)*$C$315,0)</f>
        <v>1290263</v>
      </c>
      <c r="D256" s="25">
        <f>ROUND(VLOOKUP(A256,'Contribution Allocation_Report'!$A$9:$D$314,4,FALSE)*$D$315,0)</f>
        <v>1006196</v>
      </c>
      <c r="E256" s="25">
        <f>ROUND(VLOOKUP(A256,'Contribution Allocation_Report'!$A$9:$D$314,4,FALSE)*$E$315,0)</f>
        <v>769573</v>
      </c>
      <c r="J256" s="51"/>
      <c r="K256" s="168"/>
    </row>
    <row r="257" spans="1:11">
      <c r="A257" s="22">
        <v>4520</v>
      </c>
      <c r="B257" s="23" t="s">
        <v>241</v>
      </c>
      <c r="C257" s="26">
        <f>ROUND(VLOOKUP(A257,'Contribution Allocation_Report'!$A$9:$D$314,4,FALSE)*$C$315,0)</f>
        <v>50694</v>
      </c>
      <c r="D257" s="26">
        <f>ROUND(VLOOKUP(A257,'Contribution Allocation_Report'!$A$9:$D$314,4,FALSE)*$D$315,0)</f>
        <v>39533</v>
      </c>
      <c r="E257" s="26">
        <f>ROUND(VLOOKUP(A257,'Contribution Allocation_Report'!$A$9:$D$314,4,FALSE)*$E$315,0)</f>
        <v>30236</v>
      </c>
      <c r="J257" s="53"/>
      <c r="K257" s="168"/>
    </row>
    <row r="258" spans="1:11">
      <c r="A258" s="24">
        <v>9030</v>
      </c>
      <c r="B258" s="3" t="s">
        <v>242</v>
      </c>
      <c r="C258" s="25">
        <f>ROUND(VLOOKUP(A258,'Contribution Allocation_Report'!$A$9:$D$314,4,FALSE)*$C$315,0)</f>
        <v>523439</v>
      </c>
      <c r="D258" s="25">
        <f>ROUND(VLOOKUP(A258,'Contribution Allocation_Report'!$A$9:$D$314,4,FALSE)*$D$315,0)</f>
        <v>408197</v>
      </c>
      <c r="E258" s="25">
        <f>ROUND(VLOOKUP(A258,'Contribution Allocation_Report'!$A$9:$D$314,4,FALSE)*$E$315,0)</f>
        <v>312203</v>
      </c>
      <c r="J258" s="51"/>
      <c r="K258" s="168"/>
    </row>
    <row r="259" spans="1:11">
      <c r="A259" s="22">
        <v>20265</v>
      </c>
      <c r="B259" s="23" t="s">
        <v>243</v>
      </c>
      <c r="C259" s="26">
        <f>ROUND(VLOOKUP(A259,'Contribution Allocation_Report'!$A$9:$D$314,4,FALSE)*$C$315,0)</f>
        <v>745805</v>
      </c>
      <c r="D259" s="26">
        <f>ROUND(VLOOKUP(A259,'Contribution Allocation_Report'!$A$9:$D$314,4,FALSE)*$D$315,0)</f>
        <v>581607</v>
      </c>
      <c r="E259" s="26">
        <f>ROUND(VLOOKUP(A259,'Contribution Allocation_Report'!$A$9:$D$314,4,FALSE)*$E$315,0)</f>
        <v>444833</v>
      </c>
      <c r="J259" s="53"/>
      <c r="K259" s="168"/>
    </row>
    <row r="260" spans="1:11">
      <c r="A260" s="24">
        <v>20307</v>
      </c>
      <c r="B260" s="3" t="s">
        <v>244</v>
      </c>
      <c r="C260" s="25">
        <f>ROUND(VLOOKUP(A260,'Contribution Allocation_Report'!$A$9:$D$314,4,FALSE)*$C$315,0)</f>
        <v>588616</v>
      </c>
      <c r="D260" s="25">
        <f>ROUND(VLOOKUP(A260,'Contribution Allocation_Report'!$A$9:$D$314,4,FALSE)*$D$315,0)</f>
        <v>459025</v>
      </c>
      <c r="E260" s="25">
        <f>ROUND(VLOOKUP(A260,'Contribution Allocation_Report'!$A$9:$D$314,4,FALSE)*$E$315,0)</f>
        <v>351078</v>
      </c>
      <c r="J260" s="51"/>
      <c r="K260" s="168"/>
    </row>
    <row r="261" spans="1:11">
      <c r="A261" s="22">
        <v>3320</v>
      </c>
      <c r="B261" s="23" t="s">
        <v>245</v>
      </c>
      <c r="C261" s="26">
        <f>ROUND(VLOOKUP(A261,'Contribution Allocation_Report'!$A$9:$D$314,4,FALSE)*$C$315,0)</f>
        <v>3955221</v>
      </c>
      <c r="D261" s="26">
        <f>ROUND(VLOOKUP(A261,'Contribution Allocation_Report'!$A$9:$D$314,4,FALSE)*$D$315,0)</f>
        <v>3084429</v>
      </c>
      <c r="E261" s="26">
        <f>ROUND(VLOOKUP(A261,'Contribution Allocation_Report'!$A$9:$D$314,4,FALSE)*$E$315,0)</f>
        <v>2359077</v>
      </c>
      <c r="J261" s="53"/>
      <c r="K261" s="168"/>
    </row>
    <row r="262" spans="1:11">
      <c r="A262" s="24">
        <v>20415</v>
      </c>
      <c r="B262" s="3" t="s">
        <v>246</v>
      </c>
      <c r="C262" s="25">
        <f>ROUND(VLOOKUP(A262,'Contribution Allocation_Report'!$A$9:$D$314,4,FALSE)*$C$315,0)</f>
        <v>470625</v>
      </c>
      <c r="D262" s="25">
        <f>ROUND(VLOOKUP(A262,'Contribution Allocation_Report'!$A$9:$D$314,4,FALSE)*$D$315,0)</f>
        <v>367011</v>
      </c>
      <c r="E262" s="25">
        <f>ROUND(VLOOKUP(A262,'Contribution Allocation_Report'!$A$9:$D$314,4,FALSE)*$E$315,0)</f>
        <v>280703</v>
      </c>
      <c r="J262" s="51"/>
      <c r="K262" s="168"/>
    </row>
    <row r="263" spans="1:11">
      <c r="A263" s="22">
        <v>20435</v>
      </c>
      <c r="B263" s="23" t="s">
        <v>407</v>
      </c>
      <c r="C263" s="26">
        <f>ROUND(VLOOKUP(A263,'Contribution Allocation_Report'!$A$9:$D$314,4,FALSE)*$C$315,0)</f>
        <v>475394</v>
      </c>
      <c r="D263" s="26">
        <f>ROUND(VLOOKUP(A263,'Contribution Allocation_Report'!$A$9:$D$314,4,FALSE)*$D$315,0)</f>
        <v>370730</v>
      </c>
      <c r="E263" s="26">
        <f>ROUND(VLOOKUP(A263,'Contribution Allocation_Report'!$A$9:$D$314,4,FALSE)*$E$315,0)</f>
        <v>283547</v>
      </c>
      <c r="J263" s="53"/>
      <c r="K263" s="168"/>
    </row>
    <row r="264" spans="1:11">
      <c r="A264" s="24">
        <v>20062</v>
      </c>
      <c r="B264" s="3" t="s">
        <v>247</v>
      </c>
      <c r="C264" s="25">
        <f>ROUND(VLOOKUP(A264,'Contribution Allocation_Report'!$A$9:$D$314,4,FALSE)*$C$315,0)</f>
        <v>5195055</v>
      </c>
      <c r="D264" s="25">
        <f>ROUND(VLOOKUP(A264,'Contribution Allocation_Report'!$A$9:$D$314,4,FALSE)*$D$315,0)</f>
        <v>4051298</v>
      </c>
      <c r="E264" s="25">
        <f>ROUND(VLOOKUP(A264,'Contribution Allocation_Report'!$A$9:$D$314,4,FALSE)*$E$315,0)</f>
        <v>3098572</v>
      </c>
      <c r="J264" s="53"/>
      <c r="K264" s="168"/>
    </row>
    <row r="265" spans="1:11">
      <c r="A265" s="22">
        <v>3410</v>
      </c>
      <c r="B265" s="23" t="s">
        <v>457</v>
      </c>
      <c r="C265" s="26">
        <f>ROUND(VLOOKUP(A265,'Contribution Allocation_Report'!$A$9:$D$314,4,FALSE)*$C$315,0)</f>
        <v>146591</v>
      </c>
      <c r="D265" s="26">
        <f>ROUND(VLOOKUP(A265,'Contribution Allocation_Report'!$A$9:$D$314,4,FALSE)*$D$315,0)</f>
        <v>114317</v>
      </c>
      <c r="E265" s="26">
        <f>ROUND(VLOOKUP(A265,'Contribution Allocation_Report'!$A$9:$D$314,4,FALSE)*$E$315,0)</f>
        <v>87434</v>
      </c>
      <c r="J265" s="51"/>
      <c r="K265" s="168"/>
    </row>
    <row r="266" spans="1:11">
      <c r="A266" s="24">
        <v>6020</v>
      </c>
      <c r="B266" s="3" t="s">
        <v>248</v>
      </c>
      <c r="C266" s="25">
        <f>ROUND(VLOOKUP(A266,'Contribution Allocation_Report'!$A$9:$D$314,4,FALSE)*$C$315,0)</f>
        <v>1077582</v>
      </c>
      <c r="D266" s="25">
        <f>ROUND(VLOOKUP(A266,'Contribution Allocation_Report'!$A$9:$D$314,4,FALSE)*$D$315,0)</f>
        <v>840339</v>
      </c>
      <c r="E266" s="25">
        <f>ROUND(VLOOKUP(A266,'Contribution Allocation_Report'!$A$9:$D$314,4,FALSE)*$E$315,0)</f>
        <v>642720</v>
      </c>
      <c r="J266" s="53"/>
      <c r="K266" s="168"/>
    </row>
    <row r="267" spans="1:11">
      <c r="A267" s="22">
        <v>2394</v>
      </c>
      <c r="B267" s="23" t="s">
        <v>249</v>
      </c>
      <c r="C267" s="26">
        <f>ROUND(VLOOKUP(A267,'Contribution Allocation_Report'!$A$9:$D$314,4,FALSE)*$C$315,0)</f>
        <v>741198</v>
      </c>
      <c r="D267" s="26">
        <f>ROUND(VLOOKUP(A267,'Contribution Allocation_Report'!$A$9:$D$314,4,FALSE)*$D$315,0)</f>
        <v>578014</v>
      </c>
      <c r="E267" s="26">
        <f>ROUND(VLOOKUP(A267,'Contribution Allocation_Report'!$A$9:$D$314,4,FALSE)*$E$315,0)</f>
        <v>442085</v>
      </c>
      <c r="J267" s="51"/>
      <c r="K267" s="168"/>
    </row>
    <row r="268" spans="1:11">
      <c r="A268" s="24">
        <v>5015</v>
      </c>
      <c r="B268" s="3" t="s">
        <v>250</v>
      </c>
      <c r="C268" s="25">
        <f>ROUND(VLOOKUP(A268,'Contribution Allocation_Report'!$A$9:$D$314,4,FALSE)*$C$315,0)</f>
        <v>1504373</v>
      </c>
      <c r="D268" s="25">
        <f>ROUND(VLOOKUP(A268,'Contribution Allocation_Report'!$A$9:$D$314,4,FALSE)*$D$315,0)</f>
        <v>1173166</v>
      </c>
      <c r="E268" s="25">
        <f>ROUND(VLOOKUP(A268,'Contribution Allocation_Report'!$A$9:$D$314,4,FALSE)*$E$315,0)</f>
        <v>897278</v>
      </c>
      <c r="J268" s="53"/>
      <c r="K268" s="168"/>
    </row>
    <row r="269" spans="1:11">
      <c r="A269" s="22">
        <v>29408</v>
      </c>
      <c r="B269" s="23" t="s">
        <v>251</v>
      </c>
      <c r="C269" s="26">
        <f>ROUND(VLOOKUP(A269,'Contribution Allocation_Report'!$A$9:$D$314,4,FALSE)*$C$315,0)</f>
        <v>1150929</v>
      </c>
      <c r="D269" s="26">
        <f>ROUND(VLOOKUP(A269,'Contribution Allocation_Report'!$A$9:$D$314,4,FALSE)*$D$315,0)</f>
        <v>897537</v>
      </c>
      <c r="E269" s="26">
        <f>ROUND(VLOOKUP(A269,'Contribution Allocation_Report'!$A$9:$D$314,4,FALSE)*$E$315,0)</f>
        <v>686467</v>
      </c>
      <c r="J269" s="51"/>
      <c r="K269" s="168"/>
    </row>
    <row r="270" spans="1:11">
      <c r="A270" s="24">
        <v>2413</v>
      </c>
      <c r="B270" s="3" t="s">
        <v>252</v>
      </c>
      <c r="C270" s="25">
        <f>ROUND(VLOOKUP(A270,'Contribution Allocation_Report'!$A$9:$D$314,4,FALSE)*$C$315,0)</f>
        <v>149815</v>
      </c>
      <c r="D270" s="25">
        <f>ROUND(VLOOKUP(A270,'Contribution Allocation_Report'!$A$9:$D$314,4,FALSE)*$D$315,0)</f>
        <v>116831</v>
      </c>
      <c r="E270" s="25">
        <f>ROUND(VLOOKUP(A270,'Contribution Allocation_Report'!$A$9:$D$314,4,FALSE)*$E$315,0)</f>
        <v>89356</v>
      </c>
      <c r="J270" s="53"/>
      <c r="K270" s="168"/>
    </row>
    <row r="271" spans="1:11">
      <c r="A271" s="22">
        <v>1398</v>
      </c>
      <c r="B271" s="23" t="s">
        <v>253</v>
      </c>
      <c r="C271" s="26">
        <f>ROUND(VLOOKUP(A271,'Contribution Allocation_Report'!$A$9:$D$314,4,FALSE)*$C$315,0)</f>
        <v>794556</v>
      </c>
      <c r="D271" s="26">
        <f>ROUND(VLOOKUP(A271,'Contribution Allocation_Report'!$A$9:$D$314,4,FALSE)*$D$315,0)</f>
        <v>619625</v>
      </c>
      <c r="E271" s="26">
        <f>ROUND(VLOOKUP(A271,'Contribution Allocation_Report'!$A$9:$D$314,4,FALSE)*$E$315,0)</f>
        <v>473910</v>
      </c>
      <c r="J271" s="51"/>
      <c r="K271" s="168"/>
    </row>
    <row r="272" spans="1:11">
      <c r="A272" s="24">
        <v>2366</v>
      </c>
      <c r="B272" s="3" t="s">
        <v>254</v>
      </c>
      <c r="C272" s="25">
        <f>ROUND(VLOOKUP(A272,'Contribution Allocation_Report'!$A$9:$D$314,4,FALSE)*$C$315,0)</f>
        <v>348895</v>
      </c>
      <c r="D272" s="25">
        <f>ROUND(VLOOKUP(A272,'Contribution Allocation_Report'!$A$9:$D$314,4,FALSE)*$D$315,0)</f>
        <v>272082</v>
      </c>
      <c r="E272" s="25">
        <f>ROUND(VLOOKUP(A272,'Contribution Allocation_Report'!$A$9:$D$314,4,FALSE)*$E$315,0)</f>
        <v>208097</v>
      </c>
      <c r="J272" s="53"/>
      <c r="K272" s="168"/>
    </row>
    <row r="273" spans="1:11">
      <c r="A273" s="22">
        <v>7421</v>
      </c>
      <c r="B273" s="23" t="s">
        <v>255</v>
      </c>
      <c r="C273" s="26">
        <f>ROUND(VLOOKUP(A273,'Contribution Allocation_Report'!$A$9:$D$314,4,FALSE)*$C$315,0)</f>
        <v>424818</v>
      </c>
      <c r="D273" s="26">
        <f>ROUND(VLOOKUP(A273,'Contribution Allocation_Report'!$A$9:$D$314,4,FALSE)*$D$315,0)</f>
        <v>331289</v>
      </c>
      <c r="E273" s="26">
        <f>ROUND(VLOOKUP(A273,'Contribution Allocation_Report'!$A$9:$D$314,4,FALSE)*$E$315,0)</f>
        <v>253381</v>
      </c>
      <c r="J273" s="51"/>
      <c r="K273" s="168"/>
    </row>
    <row r="274" spans="1:11">
      <c r="A274" s="24">
        <v>1425</v>
      </c>
      <c r="B274" s="3" t="s">
        <v>431</v>
      </c>
      <c r="C274" s="25">
        <f>ROUND(VLOOKUP(A274,'Contribution Allocation_Report'!$A$9:$D$314,4,FALSE)*$C$315,0)</f>
        <v>743980</v>
      </c>
      <c r="D274" s="25">
        <f>ROUND(VLOOKUP(A274,'Contribution Allocation_Report'!$A$9:$D$314,4,FALSE)*$D$315,0)</f>
        <v>580184</v>
      </c>
      <c r="E274" s="25">
        <f>ROUND(VLOOKUP(A274,'Contribution Allocation_Report'!$A$9:$D$314,4,FALSE)*$E$315,0)</f>
        <v>443744</v>
      </c>
      <c r="J274" s="53"/>
      <c r="K274" s="168"/>
    </row>
    <row r="275" spans="1:11">
      <c r="A275" s="22">
        <v>2370</v>
      </c>
      <c r="B275" s="23" t="s">
        <v>256</v>
      </c>
      <c r="C275" s="26">
        <f>ROUND(VLOOKUP(A275,'Contribution Allocation_Report'!$A$9:$D$314,4,FALSE)*$C$315,0)</f>
        <v>574618</v>
      </c>
      <c r="D275" s="26">
        <f>ROUND(VLOOKUP(A275,'Contribution Allocation_Report'!$A$9:$D$314,4,FALSE)*$D$315,0)</f>
        <v>448109</v>
      </c>
      <c r="E275" s="26">
        <f>ROUND(VLOOKUP(A275,'Contribution Allocation_Report'!$A$9:$D$314,4,FALSE)*$E$315,0)</f>
        <v>342729</v>
      </c>
      <c r="J275" s="51"/>
      <c r="K275" s="168"/>
    </row>
    <row r="276" spans="1:11">
      <c r="A276" s="24">
        <v>1343</v>
      </c>
      <c r="B276" s="3" t="s">
        <v>257</v>
      </c>
      <c r="C276" s="25">
        <f>ROUND(VLOOKUP(A276,'Contribution Allocation_Report'!$A$9:$D$314,4,FALSE)*$C$315,0)</f>
        <v>694434</v>
      </c>
      <c r="D276" s="25">
        <f>ROUND(VLOOKUP(A276,'Contribution Allocation_Report'!$A$9:$D$314,4,FALSE)*$D$315,0)</f>
        <v>541546</v>
      </c>
      <c r="E276" s="25">
        <f>ROUND(VLOOKUP(A276,'Contribution Allocation_Report'!$A$9:$D$314,4,FALSE)*$E$315,0)</f>
        <v>414193</v>
      </c>
      <c r="J276" s="53"/>
      <c r="K276" s="168"/>
    </row>
    <row r="277" spans="1:11">
      <c r="A277" s="22">
        <v>2790</v>
      </c>
      <c r="B277" s="23" t="s">
        <v>258</v>
      </c>
      <c r="C277" s="26">
        <f>ROUND(VLOOKUP(A277,'Contribution Allocation_Report'!$A$9:$D$314,4,FALSE)*$C$315,0)</f>
        <v>74539</v>
      </c>
      <c r="D277" s="26">
        <f>ROUND(VLOOKUP(A277,'Contribution Allocation_Report'!$A$9:$D$314,4,FALSE)*$D$315,0)</f>
        <v>58129</v>
      </c>
      <c r="E277" s="26">
        <f>ROUND(VLOOKUP(A277,'Contribution Allocation_Report'!$A$9:$D$314,4,FALSE)*$E$315,0)</f>
        <v>44459</v>
      </c>
      <c r="J277" s="51"/>
      <c r="K277" s="168"/>
    </row>
    <row r="278" spans="1:11">
      <c r="A278" s="24">
        <v>3330</v>
      </c>
      <c r="B278" s="3" t="s">
        <v>259</v>
      </c>
      <c r="C278" s="25">
        <f>ROUND(VLOOKUP(A278,'Contribution Allocation_Report'!$A$9:$D$314,4,FALSE)*$C$315,0)</f>
        <v>1618949</v>
      </c>
      <c r="D278" s="25">
        <f>ROUND(VLOOKUP(A278,'Contribution Allocation_Report'!$A$9:$D$314,4,FALSE)*$D$315,0)</f>
        <v>1262517</v>
      </c>
      <c r="E278" s="25">
        <f>ROUND(VLOOKUP(A278,'Contribution Allocation_Report'!$A$9:$D$314,4,FALSE)*$E$315,0)</f>
        <v>965616</v>
      </c>
      <c r="J278" s="53"/>
      <c r="K278" s="168"/>
    </row>
    <row r="279" spans="1:11">
      <c r="A279" s="22">
        <v>2080</v>
      </c>
      <c r="B279" s="23" t="s">
        <v>260</v>
      </c>
      <c r="C279" s="26">
        <f>ROUND(VLOOKUP(A279,'Contribution Allocation_Report'!$A$9:$D$314,4,FALSE)*$C$315,0)</f>
        <v>1970641</v>
      </c>
      <c r="D279" s="26">
        <f>ROUND(VLOOKUP(A279,'Contribution Allocation_Report'!$A$9:$D$314,4,FALSE)*$D$315,0)</f>
        <v>1536779</v>
      </c>
      <c r="E279" s="26">
        <f>ROUND(VLOOKUP(A279,'Contribution Allocation_Report'!$A$9:$D$314,4,FALSE)*$E$315,0)</f>
        <v>1175382</v>
      </c>
      <c r="J279" s="51"/>
      <c r="K279" s="168"/>
    </row>
    <row r="280" spans="1:11">
      <c r="A280" s="24">
        <v>4290</v>
      </c>
      <c r="B280" s="3" t="s">
        <v>261</v>
      </c>
      <c r="C280" s="25">
        <f>ROUND(VLOOKUP(A280,'Contribution Allocation_Report'!$A$9:$D$314,4,FALSE)*$C$315,0)</f>
        <v>1206436</v>
      </c>
      <c r="D280" s="25">
        <f>ROUND(VLOOKUP(A280,'Contribution Allocation_Report'!$A$9:$D$314,4,FALSE)*$D$315,0)</f>
        <v>940824</v>
      </c>
      <c r="E280" s="25">
        <f>ROUND(VLOOKUP(A280,'Contribution Allocation_Report'!$A$9:$D$314,4,FALSE)*$E$315,0)</f>
        <v>719574</v>
      </c>
      <c r="J280" s="53"/>
      <c r="K280" s="168"/>
    </row>
    <row r="281" spans="1:11">
      <c r="A281" s="22">
        <v>2270</v>
      </c>
      <c r="B281" s="23" t="s">
        <v>262</v>
      </c>
      <c r="C281" s="26">
        <f>ROUND(VLOOKUP(A281,'Contribution Allocation_Report'!$A$9:$D$314,4,FALSE)*$C$315,0)</f>
        <v>28173</v>
      </c>
      <c r="D281" s="26">
        <f>ROUND(VLOOKUP(A281,'Contribution Allocation_Report'!$A$9:$D$314,4,FALSE)*$D$315,0)</f>
        <v>21970</v>
      </c>
      <c r="E281" s="26">
        <f>ROUND(VLOOKUP(A281,'Contribution Allocation_Report'!$A$9:$D$314,4,FALSE)*$E$315,0)</f>
        <v>16804</v>
      </c>
      <c r="J281" s="51"/>
      <c r="K281" s="168"/>
    </row>
    <row r="282" spans="1:11">
      <c r="A282" s="24">
        <v>2300</v>
      </c>
      <c r="B282" s="3" t="s">
        <v>263</v>
      </c>
      <c r="C282" s="25">
        <f>ROUND(VLOOKUP(A282,'Contribution Allocation_Report'!$A$9:$D$314,4,FALSE)*$C$315,0)</f>
        <v>277638</v>
      </c>
      <c r="D282" s="25">
        <f>ROUND(VLOOKUP(A282,'Contribution Allocation_Report'!$A$9:$D$314,4,FALSE)*$D$315,0)</f>
        <v>216513</v>
      </c>
      <c r="E282" s="25">
        <f>ROUND(VLOOKUP(A282,'Contribution Allocation_Report'!$A$9:$D$314,4,FALSE)*$E$315,0)</f>
        <v>165596</v>
      </c>
      <c r="J282" s="53"/>
      <c r="K282" s="168"/>
    </row>
    <row r="283" spans="1:11">
      <c r="A283" s="22">
        <v>2720</v>
      </c>
      <c r="B283" s="23" t="s">
        <v>264</v>
      </c>
      <c r="C283" s="26">
        <f>ROUND(VLOOKUP(A283,'Contribution Allocation_Report'!$A$9:$D$314,4,FALSE)*$C$315,0)</f>
        <v>2594024</v>
      </c>
      <c r="D283" s="26">
        <f>ROUND(VLOOKUP(A283,'Contribution Allocation_Report'!$A$9:$D$314,4,FALSE)*$D$315,0)</f>
        <v>2022917</v>
      </c>
      <c r="E283" s="26">
        <f>ROUND(VLOOKUP(A283,'Contribution Allocation_Report'!$A$9:$D$314,4,FALSE)*$E$315,0)</f>
        <v>1547196</v>
      </c>
      <c r="J283" s="51"/>
      <c r="K283" s="168"/>
    </row>
    <row r="284" spans="1:11">
      <c r="A284" s="24">
        <v>2750</v>
      </c>
      <c r="B284" s="3" t="s">
        <v>265</v>
      </c>
      <c r="C284" s="25">
        <f>ROUND(VLOOKUP(A284,'Contribution Allocation_Report'!$A$9:$D$314,4,FALSE)*$C$315,0)</f>
        <v>169656</v>
      </c>
      <c r="D284" s="25">
        <f>ROUND(VLOOKUP(A284,'Contribution Allocation_Report'!$A$9:$D$314,4,FALSE)*$D$315,0)</f>
        <v>132304</v>
      </c>
      <c r="E284" s="25">
        <f>ROUND(VLOOKUP(A284,'Contribution Allocation_Report'!$A$9:$D$314,4,FALSE)*$E$315,0)</f>
        <v>101191</v>
      </c>
      <c r="J284" s="53"/>
      <c r="K284" s="168"/>
    </row>
    <row r="285" spans="1:11">
      <c r="A285" s="22">
        <v>2770</v>
      </c>
      <c r="B285" s="23" t="s">
        <v>266</v>
      </c>
      <c r="C285" s="26">
        <f>ROUND(VLOOKUP(A285,'Contribution Allocation_Report'!$A$9:$D$314,4,FALSE)*$C$315,0)</f>
        <v>2459842</v>
      </c>
      <c r="D285" s="26">
        <f>ROUND(VLOOKUP(A285,'Contribution Allocation_Report'!$A$9:$D$314,4,FALSE)*$D$315,0)</f>
        <v>1918277</v>
      </c>
      <c r="E285" s="26">
        <f>ROUND(VLOOKUP(A285,'Contribution Allocation_Report'!$A$9:$D$314,4,FALSE)*$E$315,0)</f>
        <v>1467164</v>
      </c>
      <c r="J285" s="51"/>
      <c r="K285" s="168"/>
    </row>
    <row r="286" spans="1:11">
      <c r="A286" s="24">
        <v>32106</v>
      </c>
      <c r="B286" s="3" t="s">
        <v>267</v>
      </c>
      <c r="C286" s="25">
        <f>ROUND(VLOOKUP(A286,'Contribution Allocation_Report'!$A$9:$D$314,4,FALSE)*$C$315,0)</f>
        <v>186172</v>
      </c>
      <c r="D286" s="25">
        <f>ROUND(VLOOKUP(A286,'Contribution Allocation_Report'!$A$9:$D$314,4,FALSE)*$D$315,0)</f>
        <v>145184</v>
      </c>
      <c r="E286" s="25">
        <f>ROUND(VLOOKUP(A286,'Contribution Allocation_Report'!$A$9:$D$314,4,FALSE)*$E$315,0)</f>
        <v>111041</v>
      </c>
      <c r="J286" s="53"/>
      <c r="K286" s="168"/>
    </row>
    <row r="287" spans="1:11">
      <c r="A287" s="22">
        <v>4180</v>
      </c>
      <c r="B287" s="23" t="s">
        <v>268</v>
      </c>
      <c r="C287" s="26">
        <f>ROUND(VLOOKUP(A287,'Contribution Allocation_Report'!$A$9:$D$314,4,FALSE)*$C$315,0)</f>
        <v>256383</v>
      </c>
      <c r="D287" s="26">
        <f>ROUND(VLOOKUP(A287,'Contribution Allocation_Report'!$A$9:$D$314,4,FALSE)*$D$315,0)</f>
        <v>199937</v>
      </c>
      <c r="E287" s="26">
        <f>ROUND(VLOOKUP(A287,'Contribution Allocation_Report'!$A$9:$D$314,4,FALSE)*$E$315,0)</f>
        <v>152919</v>
      </c>
      <c r="J287" s="51"/>
      <c r="K287" s="168"/>
    </row>
    <row r="288" spans="1:11">
      <c r="A288" s="24">
        <v>21063</v>
      </c>
      <c r="B288" s="3" t="s">
        <v>269</v>
      </c>
      <c r="C288" s="25">
        <f>ROUND(VLOOKUP(A288,'Contribution Allocation_Report'!$A$9:$D$314,4,FALSE)*$C$315,0)</f>
        <v>3837141</v>
      </c>
      <c r="D288" s="25">
        <f>ROUND(VLOOKUP(A288,'Contribution Allocation_Report'!$A$9:$D$314,4,FALSE)*$D$315,0)</f>
        <v>2992346</v>
      </c>
      <c r="E288" s="25">
        <f>ROUND(VLOOKUP(A288,'Contribution Allocation_Report'!$A$9:$D$314,4,FALSE)*$E$315,0)</f>
        <v>2288649</v>
      </c>
      <c r="J288" s="53"/>
      <c r="K288" s="168"/>
    </row>
    <row r="289" spans="1:11">
      <c r="A289" s="22">
        <v>10033</v>
      </c>
      <c r="B289" s="23" t="s">
        <v>270</v>
      </c>
      <c r="C289" s="26">
        <f>ROUND(VLOOKUP(A289,'Contribution Allocation_Report'!$A$9:$D$314,4,FALSE)*$C$315,0)</f>
        <v>2463080</v>
      </c>
      <c r="D289" s="26">
        <f>ROUND(VLOOKUP(A289,'Contribution Allocation_Report'!$A$9:$D$314,4,FALSE)*$D$315,0)</f>
        <v>1920802</v>
      </c>
      <c r="E289" s="26">
        <f>ROUND(VLOOKUP(A289,'Contribution Allocation_Report'!$A$9:$D$314,4,FALSE)*$E$315,0)</f>
        <v>1469095</v>
      </c>
      <c r="J289" s="51"/>
      <c r="K289" s="168"/>
    </row>
    <row r="290" spans="1:11">
      <c r="A290" s="24">
        <v>15049</v>
      </c>
      <c r="B290" s="3" t="s">
        <v>271</v>
      </c>
      <c r="C290" s="25">
        <f>ROUND(VLOOKUP(A290,'Contribution Allocation_Report'!$A$9:$D$314,4,FALSE)*$C$315,0)</f>
        <v>2709381</v>
      </c>
      <c r="D290" s="25">
        <f>ROUND(VLOOKUP(A290,'Contribution Allocation_Report'!$A$9:$D$314,4,FALSE)*$D$315,0)</f>
        <v>2112877</v>
      </c>
      <c r="E290" s="25">
        <f>ROUND(VLOOKUP(A290,'Contribution Allocation_Report'!$A$9:$D$314,4,FALSE)*$E$315,0)</f>
        <v>1616000</v>
      </c>
      <c r="J290" s="53"/>
      <c r="K290" s="168"/>
    </row>
    <row r="291" spans="1:11">
      <c r="A291" s="163">
        <v>1315</v>
      </c>
      <c r="B291" s="164" t="s">
        <v>272</v>
      </c>
      <c r="C291" s="26">
        <f>ROUND(VLOOKUP(A291,'Contribution Allocation_Report'!$A$9:$D$314,4,FALSE)*$C$315,0)</f>
        <v>1559217</v>
      </c>
      <c r="D291" s="26">
        <f>ROUND(VLOOKUP(A291,'Contribution Allocation_Report'!$A$9:$D$314,4,FALSE)*$D$315,0)</f>
        <v>1215936</v>
      </c>
      <c r="E291" s="26">
        <f>ROUND(VLOOKUP(A291,'Contribution Allocation_Report'!$A$9:$D$314,4,FALSE)*$E$315,0)</f>
        <v>929989</v>
      </c>
      <c r="J291" s="51"/>
      <c r="K291" s="168"/>
    </row>
    <row r="292" spans="1:11">
      <c r="A292" s="24">
        <v>3340</v>
      </c>
      <c r="B292" s="3" t="s">
        <v>273</v>
      </c>
      <c r="C292" s="67">
        <f>ROUND(VLOOKUP(A292,'Contribution Allocation_Report'!$A$9:$D$314,4,FALSE)*$C$315,0)</f>
        <v>522953</v>
      </c>
      <c r="D292" s="67">
        <f>ROUND(VLOOKUP(A292,'Contribution Allocation_Report'!$A$9:$D$314,4,FALSE)*$D$315,0)</f>
        <v>407818</v>
      </c>
      <c r="E292" s="67">
        <f>ROUND(VLOOKUP(A292,'Contribution Allocation_Report'!$A$9:$D$314,4,FALSE)*$E$315,0)</f>
        <v>311913</v>
      </c>
      <c r="J292" s="53"/>
      <c r="K292" s="168"/>
    </row>
    <row r="293" spans="1:11">
      <c r="A293" s="24">
        <v>3350</v>
      </c>
      <c r="B293" s="3" t="s">
        <v>274</v>
      </c>
      <c r="C293" s="25">
        <f>ROUND(VLOOKUP(A293,'Contribution Allocation_Report'!$A$9:$D$314,4,FALSE)*$C$315,0)</f>
        <v>4767396</v>
      </c>
      <c r="D293" s="25">
        <f>ROUND(VLOOKUP(A293,'Contribution Allocation_Report'!$A$9:$D$314,4,FALSE)*$D$315,0)</f>
        <v>3717794</v>
      </c>
      <c r="E293" s="25">
        <f>ROUND(VLOOKUP(A293,'Contribution Allocation_Report'!$A$9:$D$314,4,FALSE)*$E$315,0)</f>
        <v>2843496</v>
      </c>
      <c r="J293" s="51"/>
      <c r="K293" s="168"/>
    </row>
    <row r="294" spans="1:11">
      <c r="A294" s="22">
        <v>24073</v>
      </c>
      <c r="B294" s="23" t="s">
        <v>275</v>
      </c>
      <c r="C294" s="26">
        <f>ROUND(VLOOKUP(A294,'Contribution Allocation_Report'!$A$9:$D$314,4,FALSE)*$C$315,0)</f>
        <v>534876</v>
      </c>
      <c r="D294" s="26">
        <f>ROUND(VLOOKUP(A294,'Contribution Allocation_Report'!$A$9:$D$314,4,FALSE)*$D$315,0)</f>
        <v>417116</v>
      </c>
      <c r="E294" s="26">
        <f>ROUND(VLOOKUP(A294,'Contribution Allocation_Report'!$A$9:$D$314,4,FALSE)*$E$315,0)</f>
        <v>319025</v>
      </c>
      <c r="J294" s="53"/>
      <c r="K294" s="168"/>
    </row>
    <row r="295" spans="1:11">
      <c r="A295" s="24">
        <v>2100</v>
      </c>
      <c r="B295" s="3" t="s">
        <v>276</v>
      </c>
      <c r="C295" s="25">
        <f>ROUND(VLOOKUP(A295,'Contribution Allocation_Report'!$A$9:$D$314,4,FALSE)*$C$315,0)</f>
        <v>480708</v>
      </c>
      <c r="D295" s="25">
        <f>ROUND(VLOOKUP(A295,'Contribution Allocation_Report'!$A$9:$D$314,4,FALSE)*$D$315,0)</f>
        <v>374874</v>
      </c>
      <c r="E295" s="25">
        <f>ROUND(VLOOKUP(A295,'Contribution Allocation_Report'!$A$9:$D$314,4,FALSE)*$E$315,0)</f>
        <v>286717</v>
      </c>
      <c r="J295" s="51"/>
      <c r="K295" s="168"/>
    </row>
    <row r="296" spans="1:11">
      <c r="A296" s="22">
        <v>2130</v>
      </c>
      <c r="B296" s="23" t="s">
        <v>277</v>
      </c>
      <c r="C296" s="26">
        <f>ROUND(VLOOKUP(A296,'Contribution Allocation_Report'!$A$9:$D$314,4,FALSE)*$C$315,0)</f>
        <v>124173</v>
      </c>
      <c r="D296" s="26">
        <f>ROUND(VLOOKUP(A296,'Contribution Allocation_Report'!$A$9:$D$314,4,FALSE)*$D$315,0)</f>
        <v>96835</v>
      </c>
      <c r="E296" s="26">
        <f>ROUND(VLOOKUP(A296,'Contribution Allocation_Report'!$A$9:$D$314,4,FALSE)*$E$315,0)</f>
        <v>74063</v>
      </c>
      <c r="J296" s="53"/>
      <c r="K296" s="168"/>
    </row>
    <row r="297" spans="1:11">
      <c r="A297" s="24">
        <v>32099</v>
      </c>
      <c r="B297" s="3" t="s">
        <v>278</v>
      </c>
      <c r="C297" s="25">
        <f>ROUND(VLOOKUP(A297,'Contribution Allocation_Report'!$A$9:$D$314,4,FALSE)*$C$315,0)</f>
        <v>225105</v>
      </c>
      <c r="D297" s="25">
        <f>ROUND(VLOOKUP(A297,'Contribution Allocation_Report'!$A$9:$D$314,4,FALSE)*$D$315,0)</f>
        <v>175545</v>
      </c>
      <c r="E297" s="25">
        <f>ROUND(VLOOKUP(A297,'Contribution Allocation_Report'!$A$9:$D$314,4,FALSE)*$E$315,0)</f>
        <v>134263</v>
      </c>
      <c r="J297" s="51"/>
      <c r="K297" s="168"/>
    </row>
    <row r="298" spans="1:11">
      <c r="A298" s="22">
        <v>32100</v>
      </c>
      <c r="B298" s="23" t="s">
        <v>279</v>
      </c>
      <c r="C298" s="26">
        <f>ROUND(VLOOKUP(A298,'Contribution Allocation_Report'!$A$9:$D$314,4,FALSE)*$C$315,0)</f>
        <v>352560</v>
      </c>
      <c r="D298" s="26">
        <f>ROUND(VLOOKUP(A298,'Contribution Allocation_Report'!$A$9:$D$314,4,FALSE)*$D$315,0)</f>
        <v>274940</v>
      </c>
      <c r="E298" s="26">
        <f>ROUND(VLOOKUP(A298,'Contribution Allocation_Report'!$A$9:$D$314,4,FALSE)*$E$315,0)</f>
        <v>210283</v>
      </c>
      <c r="J298" s="53"/>
      <c r="K298" s="168"/>
    </row>
    <row r="299" spans="1:11">
      <c r="A299" s="24">
        <v>32101</v>
      </c>
      <c r="B299" s="3" t="s">
        <v>280</v>
      </c>
      <c r="C299" s="25">
        <f>ROUND(VLOOKUP(A299,'Contribution Allocation_Report'!$A$9:$D$314,4,FALSE)*$C$315,0)</f>
        <v>116387</v>
      </c>
      <c r="D299" s="25">
        <f>ROUND(VLOOKUP(A299,'Contribution Allocation_Report'!$A$9:$D$314,4,FALSE)*$D$315,0)</f>
        <v>90763</v>
      </c>
      <c r="E299" s="25">
        <f>ROUND(VLOOKUP(A299,'Contribution Allocation_Report'!$A$9:$D$314,4,FALSE)*$E$315,0)</f>
        <v>69418</v>
      </c>
      <c r="J299" s="51"/>
      <c r="K299" s="168"/>
    </row>
    <row r="300" spans="1:11">
      <c r="A300" s="22">
        <v>32102</v>
      </c>
      <c r="B300" s="23" t="s">
        <v>281</v>
      </c>
      <c r="C300" s="26">
        <f>ROUND(VLOOKUP(A300,'Contribution Allocation_Report'!$A$9:$D$314,4,FALSE)*$C$315,0)</f>
        <v>224678</v>
      </c>
      <c r="D300" s="26">
        <f>ROUND(VLOOKUP(A300,'Contribution Allocation_Report'!$A$9:$D$314,4,FALSE)*$D$315,0)</f>
        <v>175212</v>
      </c>
      <c r="E300" s="26">
        <f>ROUND(VLOOKUP(A300,'Contribution Allocation_Report'!$A$9:$D$314,4,FALSE)*$E$315,0)</f>
        <v>134008</v>
      </c>
      <c r="J300" s="53"/>
      <c r="K300" s="168"/>
    </row>
    <row r="301" spans="1:11">
      <c r="A301" s="24">
        <v>2880</v>
      </c>
      <c r="B301" s="3" t="s">
        <v>282</v>
      </c>
      <c r="C301" s="25">
        <f>ROUND(VLOOKUP(A301,'Contribution Allocation_Report'!$A$9:$D$314,4,FALSE)*$C$315,0)</f>
        <v>57347</v>
      </c>
      <c r="D301" s="25">
        <f>ROUND(VLOOKUP(A301,'Contribution Allocation_Report'!$A$9:$D$314,4,FALSE)*$D$315,0)</f>
        <v>44721</v>
      </c>
      <c r="E301" s="25">
        <f>ROUND(VLOOKUP(A301,'Contribution Allocation_Report'!$A$9:$D$314,4,FALSE)*$E$315,0)</f>
        <v>34204</v>
      </c>
      <c r="J301" s="51"/>
      <c r="K301" s="168"/>
    </row>
    <row r="302" spans="1:11">
      <c r="A302" s="22">
        <v>2490</v>
      </c>
      <c r="B302" s="23" t="s">
        <v>283</v>
      </c>
      <c r="C302" s="26">
        <f>ROUND(VLOOKUP(A302,'Contribution Allocation_Report'!$A$9:$D$314,4,FALSE)*$C$315,0)</f>
        <v>632392</v>
      </c>
      <c r="D302" s="26">
        <f>ROUND(VLOOKUP(A302,'Contribution Allocation_Report'!$A$9:$D$314,4,FALSE)*$D$315,0)</f>
        <v>493163</v>
      </c>
      <c r="E302" s="26">
        <f>ROUND(VLOOKUP(A302,'Contribution Allocation_Report'!$A$9:$D$314,4,FALSE)*$E$315,0)</f>
        <v>377188</v>
      </c>
      <c r="J302" s="53"/>
      <c r="K302" s="168"/>
    </row>
    <row r="303" spans="1:11">
      <c r="A303" s="24">
        <v>2530</v>
      </c>
      <c r="B303" s="3" t="s">
        <v>284</v>
      </c>
      <c r="C303" s="25">
        <f>ROUND(VLOOKUP(A303,'Contribution Allocation_Report'!$A$9:$D$314,4,FALSE)*$C$315,0)</f>
        <v>135625</v>
      </c>
      <c r="D303" s="25">
        <f>ROUND(VLOOKUP(A303,'Contribution Allocation_Report'!$A$9:$D$314,4,FALSE)*$D$315,0)</f>
        <v>105766</v>
      </c>
      <c r="E303" s="25">
        <f>ROUND(VLOOKUP(A303,'Contribution Allocation_Report'!$A$9:$D$314,4,FALSE)*$E$315,0)</f>
        <v>80893</v>
      </c>
      <c r="J303" s="51"/>
      <c r="K303" s="168"/>
    </row>
    <row r="304" spans="1:11">
      <c r="A304" s="22">
        <v>2560</v>
      </c>
      <c r="B304" s="23" t="s">
        <v>285</v>
      </c>
      <c r="C304" s="26">
        <f>ROUND(VLOOKUP(A304,'Contribution Allocation_Report'!$A$9:$D$314,4,FALSE)*$C$315,0)</f>
        <v>313922</v>
      </c>
      <c r="D304" s="26">
        <f>ROUND(VLOOKUP(A304,'Contribution Allocation_Report'!$A$9:$D$314,4,FALSE)*$D$315,0)</f>
        <v>244808</v>
      </c>
      <c r="E304" s="26">
        <f>ROUND(VLOOKUP(A304,'Contribution Allocation_Report'!$A$9:$D$314,4,FALSE)*$E$315,0)</f>
        <v>187238</v>
      </c>
      <c r="J304" s="53"/>
      <c r="K304" s="168"/>
    </row>
    <row r="305" spans="1:11">
      <c r="A305" s="24">
        <v>2610</v>
      </c>
      <c r="B305" s="3" t="s">
        <v>286</v>
      </c>
      <c r="C305" s="25">
        <f>ROUND(VLOOKUP(A305,'Contribution Allocation_Report'!$A$9:$D$314,4,FALSE)*$C$315,0)</f>
        <v>63676</v>
      </c>
      <c r="D305" s="25">
        <f>ROUND(VLOOKUP(A305,'Contribution Allocation_Report'!$A$9:$D$314,4,FALSE)*$D$315,0)</f>
        <v>49657</v>
      </c>
      <c r="E305" s="25">
        <f>ROUND(VLOOKUP(A305,'Contribution Allocation_Report'!$A$9:$D$314,4,FALSE)*$E$315,0)</f>
        <v>37980</v>
      </c>
      <c r="J305" s="51"/>
      <c r="K305" s="168"/>
    </row>
    <row r="306" spans="1:11">
      <c r="A306" s="22">
        <v>2800</v>
      </c>
      <c r="B306" s="23" t="s">
        <v>287</v>
      </c>
      <c r="C306" s="26">
        <f>ROUND(VLOOKUP(A306,'Contribution Allocation_Report'!$A$9:$D$314,4,FALSE)*$C$315,0)</f>
        <v>171025</v>
      </c>
      <c r="D306" s="26">
        <f>ROUND(VLOOKUP(A306,'Contribution Allocation_Report'!$A$9:$D$314,4,FALSE)*$D$315,0)</f>
        <v>133372</v>
      </c>
      <c r="E306" s="26">
        <f>ROUND(VLOOKUP(A306,'Contribution Allocation_Report'!$A$9:$D$314,4,FALSE)*$E$315,0)</f>
        <v>102007</v>
      </c>
      <c r="J306" s="53"/>
      <c r="K306" s="168"/>
    </row>
    <row r="307" spans="1:11">
      <c r="A307" s="24">
        <v>20317</v>
      </c>
      <c r="B307" s="3" t="s">
        <v>288</v>
      </c>
      <c r="C307" s="25">
        <f>ROUND(VLOOKUP(A307,'Contribution Allocation_Report'!$A$9:$D$314,4,FALSE)*$C$315,0)</f>
        <v>299040</v>
      </c>
      <c r="D307" s="25">
        <f>ROUND(VLOOKUP(A307,'Contribution Allocation_Report'!$A$9:$D$314,4,FALSE)*$D$315,0)</f>
        <v>233203</v>
      </c>
      <c r="E307" s="25">
        <f>ROUND(VLOOKUP(A307,'Contribution Allocation_Report'!$A$9:$D$314,4,FALSE)*$E$315,0)</f>
        <v>178362</v>
      </c>
      <c r="J307" s="51"/>
      <c r="K307" s="168"/>
    </row>
    <row r="308" spans="1:11">
      <c r="A308" s="22">
        <v>2442</v>
      </c>
      <c r="B308" s="23" t="s">
        <v>415</v>
      </c>
      <c r="C308" s="26">
        <f>ROUND(VLOOKUP(A308,'Contribution Allocation_Report'!$A$9:$D$314,4,FALSE)*$C$315,0)</f>
        <v>364557</v>
      </c>
      <c r="D308" s="26">
        <f>ROUND(VLOOKUP(A308,'Contribution Allocation_Report'!$A$9:$D$314,4,FALSE)*$D$315,0)</f>
        <v>284295</v>
      </c>
      <c r="E308" s="26">
        <f>ROUND(VLOOKUP(A308,'Contribution Allocation_Report'!$A$9:$D$314,4,FALSE)*$E$315,0)</f>
        <v>217439</v>
      </c>
      <c r="J308" s="53"/>
      <c r="K308" s="168"/>
    </row>
    <row r="309" spans="1:11">
      <c r="A309" s="24">
        <v>30090</v>
      </c>
      <c r="B309" s="3" t="s">
        <v>289</v>
      </c>
      <c r="C309" s="25">
        <f>ROUND(VLOOKUP(A309,'Contribution Allocation_Report'!$A$9:$D$314,4,FALSE)*$C$315,0)</f>
        <v>456789</v>
      </c>
      <c r="D309" s="25">
        <f>ROUND(VLOOKUP(A309,'Contribution Allocation_Report'!$A$9:$D$314,4,FALSE)*$D$315,0)</f>
        <v>356221</v>
      </c>
      <c r="E309" s="25">
        <f>ROUND(VLOOKUP(A309,'Contribution Allocation_Report'!$A$9:$D$314,4,FALSE)*$E$315,0)</f>
        <v>272450</v>
      </c>
      <c r="J309" s="51"/>
      <c r="K309" s="168"/>
    </row>
    <row r="310" spans="1:11">
      <c r="A310" s="22">
        <v>29330</v>
      </c>
      <c r="B310" s="23" t="s">
        <v>290</v>
      </c>
      <c r="C310" s="26">
        <f>ROUND(VLOOKUP(A310,'Contribution Allocation_Report'!$A$9:$D$314,4,FALSE)*$C$315,0)</f>
        <v>272825</v>
      </c>
      <c r="D310" s="26">
        <f>ROUND(VLOOKUP(A310,'Contribution Allocation_Report'!$A$9:$D$314,4,FALSE)*$D$315,0)</f>
        <v>212759</v>
      </c>
      <c r="E310" s="26">
        <f>ROUND(VLOOKUP(A310,'Contribution Allocation_Report'!$A$9:$D$314,4,FALSE)*$E$315,0)</f>
        <v>162726</v>
      </c>
      <c r="J310" s="53"/>
      <c r="K310" s="168"/>
    </row>
    <row r="311" spans="1:11">
      <c r="A311" s="24">
        <v>12038</v>
      </c>
      <c r="B311" s="3" t="s">
        <v>291</v>
      </c>
      <c r="C311" s="25">
        <f>ROUND(VLOOKUP(A311,'Contribution Allocation_Report'!$A$9:$D$314,4,FALSE)*$C$315,0)</f>
        <v>4435193</v>
      </c>
      <c r="D311" s="25">
        <f>ROUND(VLOOKUP(A311,'Contribution Allocation_Report'!$A$9:$D$314,4,FALSE)*$D$315,0)</f>
        <v>3458729</v>
      </c>
      <c r="E311" s="25">
        <f>ROUND(VLOOKUP(A311,'Contribution Allocation_Report'!$A$9:$D$314,4,FALSE)*$E$315,0)</f>
        <v>2645355</v>
      </c>
      <c r="J311" s="51"/>
      <c r="K311" s="168"/>
    </row>
    <row r="312" spans="1:11">
      <c r="A312" s="22">
        <v>8099</v>
      </c>
      <c r="B312" s="23" t="s">
        <v>292</v>
      </c>
      <c r="C312" s="26">
        <f>ROUND(VLOOKUP(A312,'Contribution Allocation_Report'!$A$9:$D$314,4,FALSE)*$C$315,0)</f>
        <v>8509641</v>
      </c>
      <c r="D312" s="26">
        <f>ROUND(VLOOKUP(A312,'Contribution Allocation_Report'!$A$9:$D$314,4,FALSE)*$D$315,0)</f>
        <v>6636137</v>
      </c>
      <c r="E312" s="26">
        <f>ROUND(VLOOKUP(A312,'Contribution Allocation_Report'!$A$9:$D$314,4,FALSE)*$E$315,0)</f>
        <v>5075545</v>
      </c>
      <c r="J312" s="51"/>
      <c r="K312" s="168"/>
    </row>
    <row r="313" spans="1:11">
      <c r="A313" s="10">
        <v>13142</v>
      </c>
      <c r="B313" s="11" t="s">
        <v>294</v>
      </c>
      <c r="C313" s="133">
        <f>ROUND(VLOOKUP(A313,'Contribution Allocation_Report'!$A$9:$D$314,4,FALSE)*$C$315,0)</f>
        <v>4885314</v>
      </c>
      <c r="D313" s="133">
        <f>ROUND(VLOOKUP(A313,'Contribution Allocation_Report'!$A$9:$D$314,4,FALSE)*$D$315,0)</f>
        <v>3809750</v>
      </c>
      <c r="E313" s="133">
        <f>ROUND(VLOOKUP(A313,'Contribution Allocation_Report'!$A$9:$D$314,4,FALSE)*$E$315,0)</f>
        <v>2913828</v>
      </c>
      <c r="J313" s="51"/>
      <c r="K313" s="168"/>
    </row>
    <row r="314" spans="1:11">
      <c r="A314" s="10"/>
      <c r="B314" s="11"/>
      <c r="C314" s="25"/>
      <c r="D314" s="25"/>
      <c r="E314" s="25"/>
      <c r="J314" s="51"/>
      <c r="K314" s="168"/>
    </row>
    <row r="315" spans="1:11" ht="15.75" thickBot="1">
      <c r="A315" s="3"/>
      <c r="B315" s="14"/>
      <c r="C315" s="68">
        <v>1996155284</v>
      </c>
      <c r="D315" s="68">
        <v>1556676574</v>
      </c>
      <c r="E315" s="68">
        <v>1190599579</v>
      </c>
      <c r="J315" s="51"/>
      <c r="K315" s="168"/>
    </row>
    <row r="316" spans="1:11" ht="15.75" thickTop="1">
      <c r="B316" s="14"/>
      <c r="C316" s="71"/>
      <c r="D316" s="71"/>
      <c r="E316" s="71"/>
      <c r="J316" s="53"/>
      <c r="K316" s="168"/>
    </row>
    <row r="317" spans="1:11">
      <c r="A317" s="3"/>
      <c r="B317" s="14"/>
      <c r="C317" s="71"/>
      <c r="D317" s="71"/>
      <c r="E317" s="71"/>
      <c r="J317" s="51"/>
      <c r="K317" s="168"/>
    </row>
    <row r="318" spans="1:11">
      <c r="C318" s="27"/>
      <c r="D318" s="27"/>
      <c r="E318" s="27"/>
      <c r="J318" s="53"/>
      <c r="K318" s="168"/>
    </row>
    <row r="319" spans="1:11">
      <c r="C319" s="28"/>
      <c r="D319" s="28"/>
      <c r="E319" s="28"/>
      <c r="J319" s="51"/>
      <c r="K319" s="168"/>
    </row>
    <row r="320" spans="1:11">
      <c r="C320" s="61">
        <f>+SUM(C8:C314)-C315</f>
        <v>0</v>
      </c>
      <c r="D320" s="61">
        <f>+SUM(D8:D314)-D315</f>
        <v>0</v>
      </c>
      <c r="E320" s="61">
        <f>+SUM(E8:E314)-E315</f>
        <v>0</v>
      </c>
      <c r="J320" s="53"/>
      <c r="K320" s="168"/>
    </row>
    <row r="321" spans="10:11">
      <c r="J321" s="51"/>
      <c r="K321" s="168"/>
    </row>
    <row r="322" spans="10:11">
      <c r="J322" s="53"/>
      <c r="K322" s="168"/>
    </row>
    <row r="323" spans="10:11">
      <c r="J323" s="51"/>
      <c r="K323" s="168"/>
    </row>
    <row r="324" spans="10:11">
      <c r="J324" s="51"/>
      <c r="K324" s="168"/>
    </row>
    <row r="326" spans="10:11">
      <c r="K326" s="168"/>
    </row>
  </sheetData>
  <mergeCells count="3">
    <mergeCell ref="A1:E1"/>
    <mergeCell ref="A2:E2"/>
    <mergeCell ref="A3:E3"/>
  </mergeCells>
  <printOptions horizontalCentered="1"/>
  <pageMargins left="0.7" right="0.7" top="0.5" bottom="0.5" header="0.5" footer="0.5"/>
  <pageSetup scale="55" firstPageNumber="29" fitToHeight="0" orientation="portrait" useFirstPageNumber="1" r:id="rId1"/>
  <headerFooter scaleWithDoc="0">
    <oddFooter>&amp;C&amp;"Arial,Regular"&amp;10&amp;P</oddFooter>
    <evenFooter>&amp;R&amp;"Arial,Regular"&amp;10&amp;P</evenFooter>
  </headerFooter>
  <rowBreaks count="4" manualBreakCount="4">
    <brk id="78" max="4" man="1"/>
    <brk id="148" max="4" man="1"/>
    <brk id="218" max="4" man="1"/>
    <brk id="291" max="4" man="1"/>
  </rowBreaks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BF79-68D8-4476-B27F-06152E1A5D75}">
  <sheetPr>
    <tabColor rgb="FF92D050"/>
  </sheetPr>
  <dimension ref="A1:N326"/>
  <sheetViews>
    <sheetView view="pageBreakPreview" topLeftCell="A234" zoomScaleNormal="100" zoomScaleSheetLayoutView="100" workbookViewId="0">
      <selection activeCell="B143" sqref="B143"/>
    </sheetView>
  </sheetViews>
  <sheetFormatPr defaultRowHeight="15"/>
  <cols>
    <col min="1" max="1" width="13.5703125" style="19" customWidth="1"/>
    <col min="2" max="2" width="76.42578125" style="19" bestFit="1" customWidth="1"/>
    <col min="3" max="5" width="15.5703125" style="19" bestFit="1" customWidth="1"/>
    <col min="6" max="6" width="2" customWidth="1"/>
  </cols>
  <sheetData>
    <row r="1" spans="1:14" ht="18">
      <c r="A1" s="282" t="s">
        <v>378</v>
      </c>
      <c r="B1" s="282"/>
      <c r="C1" s="282"/>
      <c r="D1" s="282"/>
      <c r="E1" s="282"/>
    </row>
    <row r="2" spans="1:14" ht="15.75">
      <c r="A2" s="283" t="s">
        <v>468</v>
      </c>
      <c r="B2" s="283"/>
      <c r="C2" s="283"/>
      <c r="D2" s="283"/>
      <c r="E2" s="283"/>
    </row>
    <row r="3" spans="1:14" ht="15.75">
      <c r="A3" s="287" t="s">
        <v>471</v>
      </c>
      <c r="B3" s="283"/>
      <c r="C3" s="283"/>
      <c r="D3" s="283"/>
      <c r="E3" s="283"/>
    </row>
    <row r="5" spans="1:14" ht="59.1" customHeight="1">
      <c r="A5" s="35" t="s">
        <v>0</v>
      </c>
      <c r="B5" s="36" t="s">
        <v>1</v>
      </c>
      <c r="C5" s="35" t="s">
        <v>325</v>
      </c>
      <c r="D5" s="35" t="s">
        <v>423</v>
      </c>
      <c r="E5" s="35" t="s">
        <v>326</v>
      </c>
    </row>
    <row r="6" spans="1:14">
      <c r="A6" s="15"/>
      <c r="B6" s="15"/>
      <c r="C6" s="15" t="s">
        <v>399</v>
      </c>
      <c r="D6" s="15" t="s">
        <v>404</v>
      </c>
      <c r="E6" s="15" t="s">
        <v>421</v>
      </c>
    </row>
    <row r="7" spans="1:14">
      <c r="A7" s="15"/>
      <c r="B7" s="15"/>
      <c r="C7" s="15"/>
      <c r="D7" s="15"/>
      <c r="E7" s="15"/>
    </row>
    <row r="8" spans="1:14">
      <c r="A8" s="12">
        <v>1341</v>
      </c>
      <c r="B8" s="43" t="s">
        <v>5</v>
      </c>
      <c r="C8" s="67">
        <f>ROUND(VLOOKUP(A8,'Contribution Allocation_Report'!$A$9:$D$314,4,FALSE)*$C$315,0)-10</f>
        <v>290348922</v>
      </c>
      <c r="D8" s="67">
        <f>ROUND(VLOOKUP(A8,'Contribution Allocation_Report'!$A$9:$D$312,4,FALSE)*$D$315,0)</f>
        <v>390558188</v>
      </c>
      <c r="E8" s="67">
        <f>ROUND(VLOOKUP(A8,'Contribution Allocation_Report'!$A$9:$D$312,4,FALSE)*$E$315,0)-13</f>
        <v>513304944</v>
      </c>
      <c r="H8" s="113"/>
      <c r="J8" s="51"/>
      <c r="K8" s="168"/>
      <c r="N8" s="70"/>
    </row>
    <row r="9" spans="1:14">
      <c r="A9" s="10">
        <v>2308</v>
      </c>
      <c r="B9" s="11" t="s">
        <v>6</v>
      </c>
      <c r="C9" s="25">
        <f>ROUND(VLOOKUP(A9,'Contribution Allocation_Report'!$A$9:$D$314,4,FALSE)*$C$315,0)</f>
        <v>474654</v>
      </c>
      <c r="D9" s="25">
        <f>ROUND(VLOOKUP(A9,'Contribution Allocation_Report'!$A$9:$D$314,4,FALSE)*$D$315,0)</f>
        <v>638473</v>
      </c>
      <c r="E9" s="25">
        <f>ROUND(VLOOKUP(A9,'Contribution Allocation_Report'!$A$9:$D$314,4,FALSE)*$E$315,0)</f>
        <v>839136</v>
      </c>
      <c r="H9" s="113"/>
      <c r="J9" s="53"/>
      <c r="K9" s="168"/>
    </row>
    <row r="10" spans="1:14">
      <c r="A10" s="12">
        <v>2340</v>
      </c>
      <c r="B10" s="13" t="s">
        <v>7</v>
      </c>
      <c r="C10" s="26">
        <f>ROUND(VLOOKUP(A10,'Contribution Allocation_Report'!$A$9:$D$314,4,FALSE)*$C$315,0)</f>
        <v>516229</v>
      </c>
      <c r="D10" s="26">
        <f>ROUND(VLOOKUP(A10,'Contribution Allocation_Report'!$A$9:$D$314,4,FALSE)*$D$315,0)</f>
        <v>694397</v>
      </c>
      <c r="E10" s="26">
        <f>ROUND(VLOOKUP(A10,'Contribution Allocation_Report'!$A$9:$D$314,4,FALSE)*$E$315,0)</f>
        <v>912636</v>
      </c>
      <c r="H10" s="113"/>
      <c r="J10" s="51"/>
      <c r="K10" s="168"/>
    </row>
    <row r="11" spans="1:14">
      <c r="A11" s="10">
        <v>1301</v>
      </c>
      <c r="B11" s="11" t="s">
        <v>8</v>
      </c>
      <c r="C11" s="25">
        <f>ROUND(VLOOKUP(A11,'Contribution Allocation_Report'!$A$9:$D$314,4,FALSE)*$C$315,0)</f>
        <v>572747</v>
      </c>
      <c r="D11" s="25">
        <f>ROUND(VLOOKUP(A11,'Contribution Allocation_Report'!$A$9:$D$314,4,FALSE)*$D$315,0)</f>
        <v>770421</v>
      </c>
      <c r="E11" s="25">
        <f>ROUND(VLOOKUP(A11,'Contribution Allocation_Report'!$A$9:$D$314,4,FALSE)*$E$315,0)</f>
        <v>1012554</v>
      </c>
      <c r="H11" s="113"/>
      <c r="J11" s="53"/>
      <c r="K11" s="168"/>
    </row>
    <row r="12" spans="1:14">
      <c r="A12" s="12">
        <v>2390</v>
      </c>
      <c r="B12" s="13" t="s">
        <v>9</v>
      </c>
      <c r="C12" s="26">
        <f>ROUND(VLOOKUP(A12,'Contribution Allocation_Report'!$A$9:$D$314,4,FALSE)*$C$315,0)</f>
        <v>429870</v>
      </c>
      <c r="D12" s="26">
        <f>ROUND(VLOOKUP(A12,'Contribution Allocation_Report'!$A$9:$D$314,4,FALSE)*$D$315,0)</f>
        <v>578232</v>
      </c>
      <c r="E12" s="26">
        <f>ROUND(VLOOKUP(A12,'Contribution Allocation_Report'!$A$9:$D$314,4,FALSE)*$E$315,0)</f>
        <v>759962</v>
      </c>
      <c r="H12" s="113"/>
      <c r="J12" s="51"/>
      <c r="K12" s="168"/>
    </row>
    <row r="13" spans="1:14">
      <c r="A13" s="10">
        <v>2441</v>
      </c>
      <c r="B13" s="11" t="s">
        <v>408</v>
      </c>
      <c r="C13" s="25">
        <f>ROUND(VLOOKUP(A13,'Contribution Allocation_Report'!$A$9:$D$314,4,FALSE)*$C$315,0)</f>
        <v>249171</v>
      </c>
      <c r="D13" s="25">
        <f>ROUND(VLOOKUP(A13,'Contribution Allocation_Report'!$A$9:$D$314,4,FALSE)*$D$315,0)</f>
        <v>335169</v>
      </c>
      <c r="E13" s="25">
        <f>ROUND(VLOOKUP(A13,'Contribution Allocation_Report'!$A$9:$D$314,4,FALSE)*$E$315,0)</f>
        <v>440508</v>
      </c>
      <c r="H13" s="113"/>
      <c r="J13" s="53"/>
      <c r="K13" s="168"/>
    </row>
    <row r="14" spans="1:14">
      <c r="A14" s="12">
        <v>15046</v>
      </c>
      <c r="B14" s="13" t="s">
        <v>10</v>
      </c>
      <c r="C14" s="26">
        <f>ROUND(VLOOKUP(A14,'Contribution Allocation_Report'!$A$9:$D$314,4,FALSE)*$C$315,0)</f>
        <v>8662759</v>
      </c>
      <c r="D14" s="26">
        <f>ROUND(VLOOKUP(A14,'Contribution Allocation_Report'!$A$9:$D$314,4,FALSE)*$D$315,0)</f>
        <v>11652571</v>
      </c>
      <c r="E14" s="26">
        <f>ROUND(VLOOKUP(A14,'Contribution Allocation_Report'!$A$9:$D$314,4,FALSE)*$E$315,0)</f>
        <v>15314805</v>
      </c>
      <c r="J14" s="51"/>
      <c r="K14" s="168"/>
    </row>
    <row r="15" spans="1:14">
      <c r="A15" s="10">
        <v>4380</v>
      </c>
      <c r="B15" s="11" t="s">
        <v>11</v>
      </c>
      <c r="C15" s="25">
        <f>ROUND(VLOOKUP(A15,'Contribution Allocation_Report'!$A$9:$D$314,4,FALSE)*$C$315,0)</f>
        <v>6950509</v>
      </c>
      <c r="D15" s="25">
        <f>ROUND(VLOOKUP(A15,'Contribution Allocation_Report'!$A$9:$D$314,4,FALSE)*$D$315,0)</f>
        <v>9349365</v>
      </c>
      <c r="E15" s="25">
        <f>ROUND(VLOOKUP(A15,'Contribution Allocation_Report'!$A$9:$D$314,4,FALSE)*$E$315,0)</f>
        <v>12287735</v>
      </c>
      <c r="J15" s="53"/>
      <c r="K15" s="168"/>
    </row>
    <row r="16" spans="1:14">
      <c r="A16" s="12">
        <v>2343</v>
      </c>
      <c r="B16" s="23" t="s">
        <v>409</v>
      </c>
      <c r="C16" s="26">
        <f>ROUND(VLOOKUP(A16,'Contribution Allocation_Report'!$A$9:$D$314,4,FALSE)*$C$315,0)</f>
        <v>509112</v>
      </c>
      <c r="D16" s="26">
        <f>ROUND(VLOOKUP(A16,'Contribution Allocation_Report'!$A$9:$D$314,4,FALSE)*$D$315,0)</f>
        <v>684824</v>
      </c>
      <c r="E16" s="26">
        <f>ROUND(VLOOKUP(A16,'Contribution Allocation_Report'!$A$9:$D$314,4,FALSE)*$E$315,0)</f>
        <v>900054</v>
      </c>
      <c r="J16" s="51"/>
      <c r="K16" s="168"/>
    </row>
    <row r="17" spans="1:11">
      <c r="A17" s="10">
        <v>2435</v>
      </c>
      <c r="B17" s="11" t="s">
        <v>391</v>
      </c>
      <c r="C17" s="25">
        <f>ROUND(VLOOKUP(A17,'Contribution Allocation_Report'!$A$9:$D$314,4,FALSE)*$C$315,0)</f>
        <v>315307</v>
      </c>
      <c r="D17" s="25">
        <f>ROUND(VLOOKUP(A17,'Contribution Allocation_Report'!$A$9:$D$314,4,FALSE)*$D$315,0)</f>
        <v>424130</v>
      </c>
      <c r="E17" s="25">
        <f>ROUND(VLOOKUP(A17,'Contribution Allocation_Report'!$A$9:$D$314,4,FALSE)*$E$315,0)</f>
        <v>557427</v>
      </c>
      <c r="J17" s="53"/>
      <c r="K17" s="168"/>
    </row>
    <row r="18" spans="1:11">
      <c r="A18" s="12">
        <v>4560</v>
      </c>
      <c r="B18" s="13" t="s">
        <v>12</v>
      </c>
      <c r="C18" s="26">
        <f>ROUND(VLOOKUP(A18,'Contribution Allocation_Report'!$A$9:$D$314,4,FALSE)*$C$315,0)</f>
        <v>610645</v>
      </c>
      <c r="D18" s="26">
        <f>ROUND(VLOOKUP(A18,'Contribution Allocation_Report'!$A$9:$D$314,4,FALSE)*$D$315,0)</f>
        <v>821399</v>
      </c>
      <c r="E18" s="26">
        <f>ROUND(VLOOKUP(A18,'Contribution Allocation_Report'!$A$9:$D$314,4,FALSE)*$E$315,0)</f>
        <v>1079552</v>
      </c>
      <c r="J18" s="51"/>
      <c r="K18" s="168"/>
    </row>
    <row r="19" spans="1:11">
      <c r="A19" s="10">
        <v>2341</v>
      </c>
      <c r="B19" s="11" t="s">
        <v>406</v>
      </c>
      <c r="C19" s="25">
        <f>ROUND(VLOOKUP(A19,'Contribution Allocation_Report'!$A$9:$D$314,4,FALSE)*$C$315,0)</f>
        <v>385623</v>
      </c>
      <c r="D19" s="25">
        <f>ROUND(VLOOKUP(A19,'Contribution Allocation_Report'!$A$9:$D$314,4,FALSE)*$D$315,0)</f>
        <v>518715</v>
      </c>
      <c r="E19" s="25">
        <f>ROUND(VLOOKUP(A19,'Contribution Allocation_Report'!$A$9:$D$314,4,FALSE)*$E$315,0)</f>
        <v>681739</v>
      </c>
      <c r="J19" s="53"/>
      <c r="K19" s="168"/>
    </row>
    <row r="20" spans="1:11">
      <c r="A20" s="12">
        <v>4580</v>
      </c>
      <c r="B20" s="13" t="s">
        <v>392</v>
      </c>
      <c r="C20" s="26">
        <f>ROUND(VLOOKUP(A20,'Contribution Allocation_Report'!$A$9:$D$314,4,FALSE)*$C$315,0)</f>
        <v>389011</v>
      </c>
      <c r="D20" s="26">
        <f>ROUND(VLOOKUP(A20,'Contribution Allocation_Report'!$A$9:$D$314,4,FALSE)*$D$315,0)</f>
        <v>523272</v>
      </c>
      <c r="E20" s="26">
        <f>ROUND(VLOOKUP(A20,'Contribution Allocation_Report'!$A$9:$D$314,4,FALSE)*$E$315,0)</f>
        <v>687728</v>
      </c>
      <c r="J20" s="51"/>
      <c r="K20" s="168"/>
    </row>
    <row r="21" spans="1:11">
      <c r="A21" s="10">
        <v>2003</v>
      </c>
      <c r="B21" s="11" t="s">
        <v>13</v>
      </c>
      <c r="C21" s="25">
        <f>ROUND(VLOOKUP(A21,'Contribution Allocation_Report'!$A$9:$D$314,4,FALSE)*$C$315,0)</f>
        <v>122135075</v>
      </c>
      <c r="D21" s="25">
        <f>ROUND(VLOOKUP(A21,'Contribution Allocation_Report'!$A$9:$D$314,4,FALSE)*$D$315,0)</f>
        <v>164288029</v>
      </c>
      <c r="E21" s="25">
        <f>ROUND(VLOOKUP(A21,'Contribution Allocation_Report'!$A$9:$D$314,4,FALSE)*$E$315,0)</f>
        <v>215921372</v>
      </c>
      <c r="J21" s="53"/>
      <c r="K21" s="168"/>
    </row>
    <row r="22" spans="1:11">
      <c r="A22" s="12">
        <v>2412</v>
      </c>
      <c r="B22" s="13" t="s">
        <v>14</v>
      </c>
      <c r="C22" s="26">
        <f>ROUND(VLOOKUP(A22,'Contribution Allocation_Report'!$A$9:$D$314,4,FALSE)*$C$315,0)</f>
        <v>1281425</v>
      </c>
      <c r="D22" s="26">
        <f>ROUND(VLOOKUP(A22,'Contribution Allocation_Report'!$A$9:$D$314,4,FALSE)*$D$315,0)</f>
        <v>1723688</v>
      </c>
      <c r="E22" s="26">
        <f>ROUND(VLOOKUP(A22,'Contribution Allocation_Report'!$A$9:$D$314,4,FALSE)*$E$315,0)</f>
        <v>2265419</v>
      </c>
      <c r="J22" s="51"/>
      <c r="K22" s="168"/>
    </row>
    <row r="23" spans="1:11">
      <c r="A23" s="10">
        <v>2402</v>
      </c>
      <c r="B23" s="11" t="s">
        <v>15</v>
      </c>
      <c r="C23" s="25">
        <f>ROUND(VLOOKUP(A23,'Contribution Allocation_Report'!$A$9:$D$314,4,FALSE)*$C$315,0)</f>
        <v>659798</v>
      </c>
      <c r="D23" s="25">
        <f>ROUND(VLOOKUP(A23,'Contribution Allocation_Report'!$A$9:$D$314,4,FALSE)*$D$315,0)</f>
        <v>887516</v>
      </c>
      <c r="E23" s="25">
        <f>ROUND(VLOOKUP(A23,'Contribution Allocation_Report'!$A$9:$D$314,4,FALSE)*$E$315,0)</f>
        <v>1166450</v>
      </c>
      <c r="J23" s="53"/>
      <c r="K23" s="168"/>
    </row>
    <row r="24" spans="1:11">
      <c r="A24" s="12">
        <v>2361</v>
      </c>
      <c r="B24" s="13" t="s">
        <v>16</v>
      </c>
      <c r="C24" s="26">
        <f>ROUND(VLOOKUP(A24,'Contribution Allocation_Report'!$A$9:$D$314,4,FALSE)*$C$315,0)</f>
        <v>193157</v>
      </c>
      <c r="D24" s="26">
        <f>ROUND(VLOOKUP(A24,'Contribution Allocation_Report'!$A$9:$D$314,4,FALSE)*$D$315,0)</f>
        <v>259822</v>
      </c>
      <c r="E24" s="26">
        <f>ROUND(VLOOKUP(A24,'Contribution Allocation_Report'!$A$9:$D$314,4,FALSE)*$E$315,0)</f>
        <v>341481</v>
      </c>
      <c r="J24" s="51"/>
      <c r="K24" s="168"/>
    </row>
    <row r="25" spans="1:11">
      <c r="A25" s="10">
        <v>8347</v>
      </c>
      <c r="B25" s="11" t="s">
        <v>17</v>
      </c>
      <c r="C25" s="25">
        <f>ROUND(VLOOKUP(A25,'Contribution Allocation_Report'!$A$9:$D$314,4,FALSE)*$C$315,0)</f>
        <v>302293</v>
      </c>
      <c r="D25" s="25">
        <f>ROUND(VLOOKUP(A25,'Contribution Allocation_Report'!$A$9:$D$314,4,FALSE)*$D$315,0)</f>
        <v>406624</v>
      </c>
      <c r="E25" s="25">
        <f>ROUND(VLOOKUP(A25,'Contribution Allocation_Report'!$A$9:$D$314,4,FALSE)*$E$315,0)</f>
        <v>534421</v>
      </c>
      <c r="J25" s="53"/>
      <c r="K25" s="168"/>
    </row>
    <row r="26" spans="1:11">
      <c r="A26" s="12">
        <v>2356</v>
      </c>
      <c r="B26" s="13" t="s">
        <v>18</v>
      </c>
      <c r="C26" s="26">
        <f>ROUND(VLOOKUP(A26,'Contribution Allocation_Report'!$A$9:$D$314,4,FALSE)*$C$315,0)</f>
        <v>665942</v>
      </c>
      <c r="D26" s="26">
        <f>ROUND(VLOOKUP(A26,'Contribution Allocation_Report'!$A$9:$D$314,4,FALSE)*$D$315,0)</f>
        <v>895781</v>
      </c>
      <c r="E26" s="26">
        <f>ROUND(VLOOKUP(A26,'Contribution Allocation_Report'!$A$9:$D$314,4,FALSE)*$E$315,0)</f>
        <v>1177312</v>
      </c>
      <c r="J26" s="51"/>
      <c r="K26" s="168"/>
    </row>
    <row r="27" spans="1:11">
      <c r="A27" s="10">
        <v>7335</v>
      </c>
      <c r="B27" s="11" t="s">
        <v>19</v>
      </c>
      <c r="C27" s="25">
        <f>ROUND(VLOOKUP(A27,'Contribution Allocation_Report'!$A$9:$D$314,4,FALSE)*$C$315,0)</f>
        <v>158946</v>
      </c>
      <c r="D27" s="25">
        <f>ROUND(VLOOKUP(A27,'Contribution Allocation_Report'!$A$9:$D$314,4,FALSE)*$D$315,0)</f>
        <v>213804</v>
      </c>
      <c r="E27" s="25">
        <f>ROUND(VLOOKUP(A27,'Contribution Allocation_Report'!$A$9:$D$314,4,FALSE)*$E$315,0)</f>
        <v>280999</v>
      </c>
      <c r="J27" s="53"/>
      <c r="K27" s="168"/>
    </row>
    <row r="28" spans="1:11">
      <c r="A28" s="12">
        <v>2434</v>
      </c>
      <c r="B28" s="13" t="s">
        <v>474</v>
      </c>
      <c r="C28" s="26">
        <f>ROUND(VLOOKUP(A28,'Contribution Allocation_Report'!$A$9:$D$314,4,FALSE)*$C$315,0)</f>
        <v>269311</v>
      </c>
      <c r="D28" s="26">
        <f>ROUND(VLOOKUP(A28,'Contribution Allocation_Report'!$A$9:$D$314,4,FALSE)*$D$315,0)</f>
        <v>362259</v>
      </c>
      <c r="E28" s="26">
        <f>ROUND(VLOOKUP(A28,'Contribution Allocation_Report'!$A$9:$D$314,4,FALSE)*$E$315,0)</f>
        <v>476112</v>
      </c>
      <c r="J28" s="51"/>
      <c r="K28" s="168"/>
    </row>
    <row r="29" spans="1:11">
      <c r="A29" s="10">
        <v>2303</v>
      </c>
      <c r="B29" s="11" t="s">
        <v>20</v>
      </c>
      <c r="C29" s="25">
        <f>ROUND(VLOOKUP(A29,'Contribution Allocation_Report'!$A$9:$D$314,4,FALSE)*$C$315,0)</f>
        <v>385205</v>
      </c>
      <c r="D29" s="25">
        <f>ROUND(VLOOKUP(A29,'Contribution Allocation_Report'!$A$9:$D$314,4,FALSE)*$D$315,0)</f>
        <v>518152</v>
      </c>
      <c r="E29" s="25">
        <f>ROUND(VLOOKUP(A29,'Contribution Allocation_Report'!$A$9:$D$314,4,FALSE)*$E$315,0)</f>
        <v>681000</v>
      </c>
      <c r="J29" s="53"/>
      <c r="K29" s="168"/>
    </row>
    <row r="30" spans="1:11">
      <c r="A30" s="12">
        <v>20316</v>
      </c>
      <c r="B30" s="13" t="s">
        <v>21</v>
      </c>
      <c r="C30" s="26">
        <f>ROUND(VLOOKUP(A30,'Contribution Allocation_Report'!$A$9:$D$314,4,FALSE)*$C$315,0)</f>
        <v>301636</v>
      </c>
      <c r="D30" s="26">
        <f>ROUND(VLOOKUP(A30,'Contribution Allocation_Report'!$A$9:$D$314,4,FALSE)*$D$315,0)</f>
        <v>405741</v>
      </c>
      <c r="E30" s="26">
        <f>ROUND(VLOOKUP(A30,'Contribution Allocation_Report'!$A$9:$D$314,4,FALSE)*$E$315,0)</f>
        <v>533259</v>
      </c>
      <c r="J30" s="51"/>
      <c r="K30" s="168"/>
    </row>
    <row r="31" spans="1:11">
      <c r="A31" s="10">
        <v>23121</v>
      </c>
      <c r="B31" s="11" t="s">
        <v>22</v>
      </c>
      <c r="C31" s="25">
        <f>ROUND(VLOOKUP(A31,'Contribution Allocation_Report'!$A$9:$D$314,4,FALSE)*$C$315,0)</f>
        <v>388354</v>
      </c>
      <c r="D31" s="25">
        <f>ROUND(VLOOKUP(A31,'Contribution Allocation_Report'!$A$9:$D$314,4,FALSE)*$D$315,0)</f>
        <v>522388</v>
      </c>
      <c r="E31" s="25">
        <f>ROUND(VLOOKUP(A31,'Contribution Allocation_Report'!$A$9:$D$314,4,FALSE)*$E$315,0)</f>
        <v>686567</v>
      </c>
      <c r="J31" s="53"/>
      <c r="K31" s="168"/>
    </row>
    <row r="32" spans="1:11">
      <c r="A32" s="12">
        <v>3004</v>
      </c>
      <c r="B32" s="13" t="s">
        <v>23</v>
      </c>
      <c r="C32" s="26">
        <f>ROUND(VLOOKUP(A32,'Contribution Allocation_Report'!$A$9:$D$314,4,FALSE)*$C$315,0)</f>
        <v>5293479</v>
      </c>
      <c r="D32" s="26">
        <f>ROUND(VLOOKUP(A32,'Contribution Allocation_Report'!$A$9:$D$314,4,FALSE)*$D$315,0)</f>
        <v>7120438</v>
      </c>
      <c r="E32" s="26">
        <f>ROUND(VLOOKUP(A32,'Contribution Allocation_Report'!$A$9:$D$314,4,FALSE)*$E$315,0)</f>
        <v>9358288</v>
      </c>
      <c r="J32" s="51"/>
      <c r="K32" s="168"/>
    </row>
    <row r="33" spans="1:11">
      <c r="A33" s="10">
        <v>16050</v>
      </c>
      <c r="B33" s="11" t="s">
        <v>24</v>
      </c>
      <c r="C33" s="25">
        <f>ROUND(VLOOKUP(A33,'Contribution Allocation_Report'!$A$9:$D$314,4,FALSE)*$C$315,0)</f>
        <v>3479799</v>
      </c>
      <c r="D33" s="25">
        <f>ROUND(VLOOKUP(A33,'Contribution Allocation_Report'!$A$9:$D$314,4,FALSE)*$D$315,0)</f>
        <v>4680795</v>
      </c>
      <c r="E33" s="25">
        <f>ROUND(VLOOKUP(A33,'Contribution Allocation_Report'!$A$9:$D$314,4,FALSE)*$E$315,0)</f>
        <v>6151901</v>
      </c>
      <c r="J33" s="53"/>
      <c r="K33" s="168"/>
    </row>
    <row r="34" spans="1:11">
      <c r="A34" s="12">
        <v>14043</v>
      </c>
      <c r="B34" s="13" t="s">
        <v>25</v>
      </c>
      <c r="C34" s="26">
        <f>ROUND(VLOOKUP(A34,'Contribution Allocation_Report'!$A$9:$D$314,4,FALSE)*$C$315,0)</f>
        <v>5307977</v>
      </c>
      <c r="D34" s="26">
        <f>ROUND(VLOOKUP(A34,'Contribution Allocation_Report'!$A$9:$D$314,4,FALSE)*$D$315,0)</f>
        <v>7139940</v>
      </c>
      <c r="E34" s="26">
        <f>ROUND(VLOOKUP(A34,'Contribution Allocation_Report'!$A$9:$D$314,4,FALSE)*$E$315,0)</f>
        <v>9383920</v>
      </c>
      <c r="J34" s="51"/>
      <c r="K34" s="168"/>
    </row>
    <row r="35" spans="1:11">
      <c r="A35" s="10" t="s">
        <v>506</v>
      </c>
      <c r="B35" s="11" t="s">
        <v>26</v>
      </c>
      <c r="C35" s="25">
        <f>ROUND(VLOOKUP(A35,'Contribution Allocation_Report'!$A$9:$D$314,4,FALSE)*$C$315,0)</f>
        <v>36048570</v>
      </c>
      <c r="D35" s="25">
        <f>ROUND(VLOOKUP(A35,'Contribution Allocation_Report'!$A$9:$D$314,4,FALSE)*$D$315,0)</f>
        <v>48490153</v>
      </c>
      <c r="E35" s="25">
        <f>ROUND(VLOOKUP(A35,'Contribution Allocation_Report'!$A$9:$D$314,4,FALSE)*$E$315,0)</f>
        <v>63729904</v>
      </c>
      <c r="J35" s="53"/>
      <c r="K35" s="168"/>
    </row>
    <row r="36" spans="1:11">
      <c r="A36" s="12">
        <v>29086</v>
      </c>
      <c r="B36" s="13" t="s">
        <v>27</v>
      </c>
      <c r="C36" s="26">
        <f>ROUND(VLOOKUP(A36,'Contribution Allocation_Report'!$A$9:$D$314,4,FALSE)*$C$315,0)</f>
        <v>5722965</v>
      </c>
      <c r="D36" s="26">
        <f>ROUND(VLOOKUP(A36,'Contribution Allocation_Report'!$A$9:$D$314,4,FALSE)*$D$315,0)</f>
        <v>7698154</v>
      </c>
      <c r="E36" s="26">
        <f>ROUND(VLOOKUP(A36,'Contribution Allocation_Report'!$A$9:$D$314,4,FALSE)*$E$315,0)</f>
        <v>10117571</v>
      </c>
      <c r="J36" s="51"/>
      <c r="K36" s="168"/>
    </row>
    <row r="37" spans="1:11">
      <c r="A37" s="10">
        <v>16051</v>
      </c>
      <c r="B37" s="11" t="s">
        <v>28</v>
      </c>
      <c r="C37" s="25">
        <f>ROUND(VLOOKUP(A37,'Contribution Allocation_Report'!$A$9:$D$314,4,FALSE)*$C$315,0)</f>
        <v>4151262</v>
      </c>
      <c r="D37" s="25">
        <f>ROUND(VLOOKUP(A37,'Contribution Allocation_Report'!$A$9:$D$314,4,FALSE)*$D$315,0)</f>
        <v>5584003</v>
      </c>
      <c r="E37" s="25">
        <f>ROUND(VLOOKUP(A37,'Contribution Allocation_Report'!$A$9:$D$314,4,FALSE)*$E$315,0)</f>
        <v>7338974</v>
      </c>
      <c r="J37" s="53"/>
      <c r="K37" s="168"/>
    </row>
    <row r="38" spans="1:11">
      <c r="A38" s="12">
        <v>26077</v>
      </c>
      <c r="B38" s="13" t="s">
        <v>29</v>
      </c>
      <c r="C38" s="26">
        <f>ROUND(VLOOKUP(A38,'Contribution Allocation_Report'!$A$9:$D$314,4,FALSE)*$C$315,0)</f>
        <v>880971</v>
      </c>
      <c r="D38" s="26">
        <f>ROUND(VLOOKUP(A38,'Contribution Allocation_Report'!$A$9:$D$314,4,FALSE)*$D$315,0)</f>
        <v>1185024</v>
      </c>
      <c r="E38" s="26">
        <f>ROUND(VLOOKUP(A38,'Contribution Allocation_Report'!$A$9:$D$314,4,FALSE)*$E$315,0)</f>
        <v>1557459</v>
      </c>
      <c r="J38" s="51"/>
      <c r="K38" s="168"/>
    </row>
    <row r="39" spans="1:11">
      <c r="A39" s="10">
        <v>3005</v>
      </c>
      <c r="B39" s="11" t="s">
        <v>30</v>
      </c>
      <c r="C39" s="25">
        <f>ROUND(VLOOKUP(A39,'Contribution Allocation_Report'!$A$9:$D$314,4,FALSE)*$C$315,0)</f>
        <v>10280731</v>
      </c>
      <c r="D39" s="25">
        <f>ROUND(VLOOKUP(A39,'Contribution Allocation_Report'!$A$9:$D$314,4,FALSE)*$D$315,0)</f>
        <v>13828960</v>
      </c>
      <c r="E39" s="25">
        <f>ROUND(VLOOKUP(A39,'Contribution Allocation_Report'!$A$9:$D$314,4,FALSE)*$E$315,0)</f>
        <v>18175201</v>
      </c>
      <c r="J39" s="53"/>
      <c r="K39" s="168"/>
    </row>
    <row r="40" spans="1:11">
      <c r="A40" s="12">
        <v>26078</v>
      </c>
      <c r="B40" s="13" t="s">
        <v>31</v>
      </c>
      <c r="C40" s="26">
        <f>ROUND(VLOOKUP(A40,'Contribution Allocation_Report'!$A$9:$D$314,4,FALSE)*$C$315,0)</f>
        <v>343297</v>
      </c>
      <c r="D40" s="26">
        <f>ROUND(VLOOKUP(A40,'Contribution Allocation_Report'!$A$9:$D$314,4,FALSE)*$D$315,0)</f>
        <v>461780</v>
      </c>
      <c r="E40" s="26">
        <f>ROUND(VLOOKUP(A40,'Contribution Allocation_Report'!$A$9:$D$314,4,FALSE)*$E$315,0)</f>
        <v>606911</v>
      </c>
      <c r="J40" s="51"/>
      <c r="K40" s="168"/>
    </row>
    <row r="41" spans="1:11">
      <c r="A41" s="10">
        <v>16053</v>
      </c>
      <c r="B41" s="11" t="s">
        <v>32</v>
      </c>
      <c r="C41" s="25">
        <f>ROUND(VLOOKUP(A41,'Contribution Allocation_Report'!$A$9:$D$314,4,FALSE)*$C$315,0)</f>
        <v>10082957</v>
      </c>
      <c r="D41" s="25">
        <f>ROUND(VLOOKUP(A41,'Contribution Allocation_Report'!$A$9:$D$314,4,FALSE)*$D$315,0)</f>
        <v>13562927</v>
      </c>
      <c r="E41" s="25">
        <f>ROUND(VLOOKUP(A41,'Contribution Allocation_Report'!$A$9:$D$314,4,FALSE)*$E$315,0)</f>
        <v>17825559</v>
      </c>
      <c r="J41" s="53"/>
      <c r="K41" s="168"/>
    </row>
    <row r="42" spans="1:11">
      <c r="A42" s="12">
        <v>2123</v>
      </c>
      <c r="B42" s="13" t="s">
        <v>33</v>
      </c>
      <c r="C42" s="26">
        <f>ROUND(VLOOKUP(A42,'Contribution Allocation_Report'!$A$9:$D$314,4,FALSE)*$C$315,0)</f>
        <v>18281371</v>
      </c>
      <c r="D42" s="26">
        <f>ROUND(VLOOKUP(A42,'Contribution Allocation_Report'!$A$9:$D$314,4,FALSE)*$D$315,0)</f>
        <v>24590892</v>
      </c>
      <c r="E42" s="26">
        <f>ROUND(VLOOKUP(A42,'Contribution Allocation_Report'!$A$9:$D$314,4,FALSE)*$E$315,0)</f>
        <v>32319453</v>
      </c>
      <c r="J42" s="51"/>
      <c r="K42" s="168"/>
    </row>
    <row r="43" spans="1:11">
      <c r="A43" s="10">
        <v>2150</v>
      </c>
      <c r="B43" s="11" t="s">
        <v>34</v>
      </c>
      <c r="C43" s="25">
        <f>ROUND(VLOOKUP(A43,'Contribution Allocation_Report'!$A$9:$D$314,4,FALSE)*$C$315,0)</f>
        <v>1606810</v>
      </c>
      <c r="D43" s="25">
        <f>ROUND(VLOOKUP(A43,'Contribution Allocation_Report'!$A$9:$D$314,4,FALSE)*$D$315,0)</f>
        <v>2161374</v>
      </c>
      <c r="E43" s="25">
        <f>ROUND(VLOOKUP(A43,'Contribution Allocation_Report'!$A$9:$D$314,4,FALSE)*$E$315,0)</f>
        <v>2840663</v>
      </c>
      <c r="J43" s="53"/>
      <c r="K43" s="168"/>
    </row>
    <row r="44" spans="1:11">
      <c r="A44" s="12">
        <v>2336</v>
      </c>
      <c r="B44" s="13" t="s">
        <v>35</v>
      </c>
      <c r="C44" s="26">
        <f>ROUND(VLOOKUP(A44,'Contribution Allocation_Report'!$A$9:$D$314,4,FALSE)*$C$315,0)</f>
        <v>291396</v>
      </c>
      <c r="D44" s="26">
        <f>ROUND(VLOOKUP(A44,'Contribution Allocation_Report'!$A$9:$D$314,4,FALSE)*$D$315,0)</f>
        <v>391966</v>
      </c>
      <c r="E44" s="26">
        <f>ROUND(VLOOKUP(A44,'Contribution Allocation_Report'!$A$9:$D$314,4,FALSE)*$E$315,0)</f>
        <v>515155</v>
      </c>
      <c r="J44" s="51"/>
      <c r="K44" s="168"/>
    </row>
    <row r="45" spans="1:11">
      <c r="A45" s="10">
        <v>17126</v>
      </c>
      <c r="B45" s="11" t="s">
        <v>36</v>
      </c>
      <c r="C45" s="25">
        <f>ROUND(VLOOKUP(A45,'Contribution Allocation_Report'!$A$9:$D$314,4,FALSE)*$C$315,0)</f>
        <v>796497</v>
      </c>
      <c r="D45" s="25">
        <f>ROUND(VLOOKUP(A45,'Contribution Allocation_Report'!$A$9:$D$314,4,FALSE)*$D$315,0)</f>
        <v>1071395</v>
      </c>
      <c r="E45" s="25">
        <f>ROUND(VLOOKUP(A45,'Contribution Allocation_Report'!$A$9:$D$314,4,FALSE)*$E$315,0)</f>
        <v>1408119</v>
      </c>
      <c r="J45" s="53"/>
      <c r="K45" s="168"/>
    </row>
    <row r="46" spans="1:11">
      <c r="A46" s="12">
        <v>3030</v>
      </c>
      <c r="B46" s="13" t="s">
        <v>37</v>
      </c>
      <c r="C46" s="26">
        <f>ROUND(VLOOKUP(A46,'Contribution Allocation_Report'!$A$9:$D$314,4,FALSE)*$C$315,0)</f>
        <v>2208230</v>
      </c>
      <c r="D46" s="26">
        <f>ROUND(VLOOKUP(A46,'Contribution Allocation_Report'!$A$9:$D$314,4,FALSE)*$D$315,0)</f>
        <v>2970365</v>
      </c>
      <c r="E46" s="26">
        <f>ROUND(VLOOKUP(A46,'Contribution Allocation_Report'!$A$9:$D$314,4,FALSE)*$E$315,0)</f>
        <v>3903907</v>
      </c>
      <c r="J46" s="51"/>
      <c r="K46" s="168"/>
    </row>
    <row r="47" spans="1:11">
      <c r="A47" s="10">
        <v>2353</v>
      </c>
      <c r="B47" s="11" t="s">
        <v>38</v>
      </c>
      <c r="C47" s="25">
        <f>ROUND(VLOOKUP(A47,'Contribution Allocation_Report'!$A$9:$D$314,4,FALSE)*$C$315,0)</f>
        <v>987717</v>
      </c>
      <c r="D47" s="25">
        <f>ROUND(VLOOKUP(A47,'Contribution Allocation_Report'!$A$9:$D$314,4,FALSE)*$D$315,0)</f>
        <v>1328612</v>
      </c>
      <c r="E47" s="25">
        <f>ROUND(VLOOKUP(A47,'Contribution Allocation_Report'!$A$9:$D$314,4,FALSE)*$E$315,0)</f>
        <v>1746175</v>
      </c>
      <c r="J47" s="53"/>
      <c r="K47" s="168"/>
    </row>
    <row r="48" spans="1:11">
      <c r="A48" s="12">
        <v>3040</v>
      </c>
      <c r="B48" s="13" t="s">
        <v>39</v>
      </c>
      <c r="C48" s="26">
        <f>ROUND(VLOOKUP(A48,'Contribution Allocation_Report'!$A$9:$D$314,4,FALSE)*$C$315,0)</f>
        <v>980208</v>
      </c>
      <c r="D48" s="26">
        <f>ROUND(VLOOKUP(A48,'Contribution Allocation_Report'!$A$9:$D$314,4,FALSE)*$D$315,0)</f>
        <v>1318510</v>
      </c>
      <c r="E48" s="26">
        <f>ROUND(VLOOKUP(A48,'Contribution Allocation_Report'!$A$9:$D$314,4,FALSE)*$E$315,0)</f>
        <v>1732899</v>
      </c>
      <c r="J48" s="51"/>
      <c r="K48" s="168"/>
    </row>
    <row r="49" spans="1:11">
      <c r="A49" s="10">
        <v>2367</v>
      </c>
      <c r="B49" s="11" t="s">
        <v>40</v>
      </c>
      <c r="C49" s="25">
        <f>ROUND(VLOOKUP(A49,'Contribution Allocation_Report'!$A$9:$D$314,4,FALSE)*$C$315,0)</f>
        <v>647484</v>
      </c>
      <c r="D49" s="25">
        <f>ROUND(VLOOKUP(A49,'Contribution Allocation_Report'!$A$9:$D$314,4,FALSE)*$D$315,0)</f>
        <v>870953</v>
      </c>
      <c r="E49" s="25">
        <f>ROUND(VLOOKUP(A49,'Contribution Allocation_Report'!$A$9:$D$314,4,FALSE)*$E$315,0)</f>
        <v>1144680</v>
      </c>
      <c r="J49" s="53"/>
      <c r="K49" s="168"/>
    </row>
    <row r="50" spans="1:11">
      <c r="A50" s="12">
        <v>9027</v>
      </c>
      <c r="B50" s="13" t="s">
        <v>41</v>
      </c>
      <c r="C50" s="26">
        <f>ROUND(VLOOKUP(A50,'Contribution Allocation_Report'!$A$9:$D$314,4,FALSE)*$C$315,0)</f>
        <v>749545</v>
      </c>
      <c r="D50" s="26">
        <f>ROUND(VLOOKUP(A50,'Contribution Allocation_Report'!$A$9:$D$314,4,FALSE)*$D$315,0)</f>
        <v>1008239</v>
      </c>
      <c r="E50" s="26">
        <f>ROUND(VLOOKUP(A50,'Contribution Allocation_Report'!$A$9:$D$314,4,FALSE)*$E$315,0)</f>
        <v>1325114</v>
      </c>
      <c r="J50" s="51"/>
      <c r="K50" s="168"/>
    </row>
    <row r="51" spans="1:11">
      <c r="A51" s="10">
        <v>2010</v>
      </c>
      <c r="B51" s="11" t="s">
        <v>42</v>
      </c>
      <c r="C51" s="25">
        <f>ROUND(VLOOKUP(A51,'Contribution Allocation_Report'!$A$9:$D$314,4,FALSE)*$C$315,0)</f>
        <v>2880427</v>
      </c>
      <c r="D51" s="25">
        <f>ROUND(VLOOKUP(A51,'Contribution Allocation_Report'!$A$9:$D$314,4,FALSE)*$D$315,0)</f>
        <v>3874560</v>
      </c>
      <c r="E51" s="25">
        <f>ROUND(VLOOKUP(A51,'Contribution Allocation_Report'!$A$9:$D$314,4,FALSE)*$E$315,0)</f>
        <v>5092278</v>
      </c>
      <c r="J51" s="53"/>
      <c r="K51" s="168"/>
    </row>
    <row r="52" spans="1:11">
      <c r="A52" s="12">
        <v>2020</v>
      </c>
      <c r="B52" s="13" t="s">
        <v>43</v>
      </c>
      <c r="C52" s="26">
        <f>ROUND(VLOOKUP(A52,'Contribution Allocation_Report'!$A$9:$D$314,4,FALSE)*$C$315,0)</f>
        <v>75765641</v>
      </c>
      <c r="D52" s="26">
        <f>ROUND(VLOOKUP(A52,'Contribution Allocation_Report'!$A$9:$D$314,4,FALSE)*$D$315,0)</f>
        <v>101914931</v>
      </c>
      <c r="E52" s="26">
        <f>ROUND(VLOOKUP(A52,'Contribution Allocation_Report'!$A$9:$D$314,4,FALSE)*$E$315,0)</f>
        <v>133945315</v>
      </c>
      <c r="J52" s="51"/>
      <c r="K52" s="168"/>
    </row>
    <row r="53" spans="1:11">
      <c r="A53" s="10">
        <v>2040</v>
      </c>
      <c r="B53" s="11" t="s">
        <v>44</v>
      </c>
      <c r="C53" s="25">
        <f>ROUND(VLOOKUP(A53,'Contribution Allocation_Report'!$A$9:$D$314,4,FALSE)*$C$315,0)</f>
        <v>1012089</v>
      </c>
      <c r="D53" s="25">
        <f>ROUND(VLOOKUP(A53,'Contribution Allocation_Report'!$A$9:$D$314,4,FALSE)*$D$315,0)</f>
        <v>1361395</v>
      </c>
      <c r="E53" s="25">
        <f>ROUND(VLOOKUP(A53,'Contribution Allocation_Report'!$A$9:$D$314,4,FALSE)*$E$315,0)</f>
        <v>1789262</v>
      </c>
      <c r="J53" s="53"/>
      <c r="K53" s="168"/>
    </row>
    <row r="54" spans="1:11">
      <c r="A54" s="12">
        <v>2060</v>
      </c>
      <c r="B54" s="13" t="s">
        <v>45</v>
      </c>
      <c r="C54" s="26">
        <f>ROUND(VLOOKUP(A54,'Contribution Allocation_Report'!$A$9:$D$314,4,FALSE)*$C$315,0)</f>
        <v>1499261</v>
      </c>
      <c r="D54" s="26">
        <f>ROUND(VLOOKUP(A54,'Contribution Allocation_Report'!$A$9:$D$314,4,FALSE)*$D$315,0)</f>
        <v>2016707</v>
      </c>
      <c r="E54" s="26">
        <f>ROUND(VLOOKUP(A54,'Contribution Allocation_Report'!$A$9:$D$314,4,FALSE)*$E$315,0)</f>
        <v>2650529</v>
      </c>
      <c r="J54" s="51"/>
      <c r="K54" s="168"/>
    </row>
    <row r="55" spans="1:11">
      <c r="A55" s="10">
        <v>2090</v>
      </c>
      <c r="B55" s="11" t="s">
        <v>46</v>
      </c>
      <c r="C55" s="25">
        <f>ROUND(VLOOKUP(A55,'Contribution Allocation_Report'!$A$9:$D$314,4,FALSE)*$C$315,0)</f>
        <v>881491</v>
      </c>
      <c r="D55" s="25">
        <f>ROUND(VLOOKUP(A55,'Contribution Allocation_Report'!$A$9:$D$314,4,FALSE)*$D$315,0)</f>
        <v>1185724</v>
      </c>
      <c r="E55" s="25">
        <f>ROUND(VLOOKUP(A55,'Contribution Allocation_Report'!$A$9:$D$314,4,FALSE)*$E$315,0)</f>
        <v>1558380</v>
      </c>
      <c r="J55" s="53"/>
      <c r="K55" s="168"/>
    </row>
    <row r="56" spans="1:11">
      <c r="A56" s="12">
        <v>2110</v>
      </c>
      <c r="B56" s="13" t="s">
        <v>47</v>
      </c>
      <c r="C56" s="26">
        <f>ROUND(VLOOKUP(A56,'Contribution Allocation_Report'!$A$9:$D$314,4,FALSE)*$C$315,0)</f>
        <v>6155778</v>
      </c>
      <c r="D56" s="26">
        <f>ROUND(VLOOKUP(A56,'Contribution Allocation_Report'!$A$9:$D$314,4,FALSE)*$D$315,0)</f>
        <v>8280346</v>
      </c>
      <c r="E56" s="26">
        <f>ROUND(VLOOKUP(A56,'Contribution Allocation_Report'!$A$9:$D$314,4,FALSE)*$E$315,0)</f>
        <v>10882738</v>
      </c>
      <c r="J56" s="51"/>
      <c r="K56" s="168"/>
    </row>
    <row r="57" spans="1:11">
      <c r="A57" s="10">
        <v>2180</v>
      </c>
      <c r="B57" s="11" t="s">
        <v>48</v>
      </c>
      <c r="C57" s="25">
        <f>ROUND(VLOOKUP(A57,'Contribution Allocation_Report'!$A$9:$D$314,4,FALSE)*$C$315,0)</f>
        <v>2965856</v>
      </c>
      <c r="D57" s="25">
        <f>ROUND(VLOOKUP(A57,'Contribution Allocation_Report'!$A$9:$D$314,4,FALSE)*$D$315,0)</f>
        <v>3989474</v>
      </c>
      <c r="E57" s="25">
        <f>ROUND(VLOOKUP(A57,'Contribution Allocation_Report'!$A$9:$D$314,4,FALSE)*$E$315,0)</f>
        <v>5243307</v>
      </c>
      <c r="J57" s="53"/>
      <c r="K57" s="168"/>
    </row>
    <row r="58" spans="1:11">
      <c r="A58" s="12">
        <v>2210</v>
      </c>
      <c r="B58" s="13" t="s">
        <v>49</v>
      </c>
      <c r="C58" s="26">
        <f>ROUND(VLOOKUP(A58,'Contribution Allocation_Report'!$A$9:$D$314,4,FALSE)*$C$315,0)</f>
        <v>1420334</v>
      </c>
      <c r="D58" s="26">
        <f>ROUND(VLOOKUP(A58,'Contribution Allocation_Report'!$A$9:$D$314,4,FALSE)*$D$315,0)</f>
        <v>1910540</v>
      </c>
      <c r="E58" s="26">
        <f>ROUND(VLOOKUP(A58,'Contribution Allocation_Report'!$A$9:$D$314,4,FALSE)*$E$315,0)</f>
        <v>2510995</v>
      </c>
      <c r="J58" s="51"/>
      <c r="K58" s="168"/>
    </row>
    <row r="59" spans="1:11">
      <c r="A59" s="10">
        <v>2290</v>
      </c>
      <c r="B59" s="11" t="s">
        <v>50</v>
      </c>
      <c r="C59" s="25">
        <f>ROUND(VLOOKUP(A59,'Contribution Allocation_Report'!$A$9:$D$314,4,FALSE)*$C$315,0)</f>
        <v>1530494</v>
      </c>
      <c r="D59" s="25">
        <f>ROUND(VLOOKUP(A59,'Contribution Allocation_Report'!$A$9:$D$314,4,FALSE)*$D$315,0)</f>
        <v>2058720</v>
      </c>
      <c r="E59" s="25">
        <f>ROUND(VLOOKUP(A59,'Contribution Allocation_Report'!$A$9:$D$314,4,FALSE)*$E$315,0)</f>
        <v>2705745</v>
      </c>
      <c r="J59" s="53"/>
      <c r="K59" s="168"/>
    </row>
    <row r="60" spans="1:11">
      <c r="A60" s="12">
        <v>2310</v>
      </c>
      <c r="B60" s="13" t="s">
        <v>51</v>
      </c>
      <c r="C60" s="26">
        <f>ROUND(VLOOKUP(A60,'Contribution Allocation_Report'!$A$9:$D$314,4,FALSE)*$C$315,0)</f>
        <v>9735692</v>
      </c>
      <c r="D60" s="26">
        <f>ROUND(VLOOKUP(A60,'Contribution Allocation_Report'!$A$9:$D$314,4,FALSE)*$D$315,0)</f>
        <v>13095810</v>
      </c>
      <c r="E60" s="26">
        <f>ROUND(VLOOKUP(A60,'Contribution Allocation_Report'!$A$9:$D$314,4,FALSE)*$E$315,0)</f>
        <v>17211633</v>
      </c>
      <c r="J60" s="51"/>
      <c r="K60" s="168"/>
    </row>
    <row r="61" spans="1:11">
      <c r="A61" s="10">
        <v>2330</v>
      </c>
      <c r="B61" s="11" t="s">
        <v>52</v>
      </c>
      <c r="C61" s="25">
        <f>ROUND(VLOOKUP(A61,'Contribution Allocation_Report'!$A$9:$D$314,4,FALSE)*$C$315,0)</f>
        <v>3779079</v>
      </c>
      <c r="D61" s="25">
        <f>ROUND(VLOOKUP(A61,'Contribution Allocation_Report'!$A$9:$D$314,4,FALSE)*$D$315,0)</f>
        <v>5083367</v>
      </c>
      <c r="E61" s="25">
        <f>ROUND(VLOOKUP(A61,'Contribution Allocation_Report'!$A$9:$D$314,4,FALSE)*$E$315,0)</f>
        <v>6680996</v>
      </c>
      <c r="J61" s="53"/>
      <c r="K61" s="168"/>
    </row>
    <row r="62" spans="1:11">
      <c r="A62" s="12">
        <v>2380</v>
      </c>
      <c r="B62" s="13" t="s">
        <v>53</v>
      </c>
      <c r="C62" s="26">
        <f>ROUND(VLOOKUP(A62,'Contribution Allocation_Report'!$A$9:$D$314,4,FALSE)*$C$315,0)</f>
        <v>598467</v>
      </c>
      <c r="D62" s="26">
        <f>ROUND(VLOOKUP(A62,'Contribution Allocation_Report'!$A$9:$D$314,4,FALSE)*$D$315,0)</f>
        <v>805018</v>
      </c>
      <c r="E62" s="26">
        <f>ROUND(VLOOKUP(A62,'Contribution Allocation_Report'!$A$9:$D$314,4,FALSE)*$E$315,0)</f>
        <v>1058024</v>
      </c>
      <c r="J62" s="51"/>
      <c r="K62" s="168"/>
    </row>
    <row r="63" spans="1:11">
      <c r="A63" s="10">
        <v>2400</v>
      </c>
      <c r="B63" s="11" t="s">
        <v>54</v>
      </c>
      <c r="C63" s="25">
        <f>ROUND(VLOOKUP(A63,'Contribution Allocation_Report'!$A$9:$D$314,4,FALSE)*$C$315,0)</f>
        <v>18382844</v>
      </c>
      <c r="D63" s="25">
        <f>ROUND(VLOOKUP(A63,'Contribution Allocation_Report'!$A$9:$D$314,4,FALSE)*$D$315,0)</f>
        <v>24727386</v>
      </c>
      <c r="E63" s="25">
        <f>ROUND(VLOOKUP(A63,'Contribution Allocation_Report'!$A$9:$D$314,4,FALSE)*$E$315,0)</f>
        <v>32498845</v>
      </c>
      <c r="J63" s="53"/>
      <c r="K63" s="168"/>
    </row>
    <row r="64" spans="1:11">
      <c r="A64" s="12">
        <v>2410</v>
      </c>
      <c r="B64" s="13" t="s">
        <v>55</v>
      </c>
      <c r="C64" s="26">
        <f>ROUND(VLOOKUP(A64,'Contribution Allocation_Report'!$A$9:$D$314,4,FALSE)*$C$315,0)</f>
        <v>2018341</v>
      </c>
      <c r="D64" s="26">
        <f>ROUND(VLOOKUP(A64,'Contribution Allocation_Report'!$A$9:$D$314,4,FALSE)*$D$315,0)</f>
        <v>2714939</v>
      </c>
      <c r="E64" s="26">
        <f>ROUND(VLOOKUP(A64,'Contribution Allocation_Report'!$A$9:$D$314,4,FALSE)*$E$315,0)</f>
        <v>3568204</v>
      </c>
      <c r="J64" s="51"/>
      <c r="K64" s="168"/>
    </row>
    <row r="65" spans="1:11">
      <c r="A65" s="10">
        <v>2500</v>
      </c>
      <c r="B65" s="11" t="s">
        <v>56</v>
      </c>
      <c r="C65" s="25">
        <f>ROUND(VLOOKUP(A65,'Contribution Allocation_Report'!$A$9:$D$314,4,FALSE)*$C$315,0)</f>
        <v>343382</v>
      </c>
      <c r="D65" s="25">
        <f>ROUND(VLOOKUP(A65,'Contribution Allocation_Report'!$A$9:$D$314,4,FALSE)*$D$315,0)</f>
        <v>461895</v>
      </c>
      <c r="E65" s="25">
        <f>ROUND(VLOOKUP(A65,'Contribution Allocation_Report'!$A$9:$D$314,4,FALSE)*$E$315,0)</f>
        <v>607062</v>
      </c>
      <c r="J65" s="53"/>
      <c r="K65" s="168"/>
    </row>
    <row r="66" spans="1:11">
      <c r="A66" s="12">
        <v>2550</v>
      </c>
      <c r="B66" s="13" t="s">
        <v>57</v>
      </c>
      <c r="C66" s="26">
        <f>ROUND(VLOOKUP(A66,'Contribution Allocation_Report'!$A$9:$D$314,4,FALSE)*$C$315,0)</f>
        <v>1249749</v>
      </c>
      <c r="D66" s="26">
        <f>ROUND(VLOOKUP(A66,'Contribution Allocation_Report'!$A$9:$D$314,4,FALSE)*$D$315,0)</f>
        <v>1681079</v>
      </c>
      <c r="E66" s="26">
        <f>ROUND(VLOOKUP(A66,'Contribution Allocation_Report'!$A$9:$D$314,4,FALSE)*$E$315,0)</f>
        <v>2209418</v>
      </c>
      <c r="J66" s="51"/>
      <c r="K66" s="168"/>
    </row>
    <row r="67" spans="1:11">
      <c r="A67" s="10">
        <v>2570</v>
      </c>
      <c r="B67" s="11" t="s">
        <v>58</v>
      </c>
      <c r="C67" s="25">
        <f>ROUND(VLOOKUP(A67,'Contribution Allocation_Report'!$A$9:$D$314,4,FALSE)*$C$315,0)</f>
        <v>845940</v>
      </c>
      <c r="D67" s="25">
        <f>ROUND(VLOOKUP(A67,'Contribution Allocation_Report'!$A$9:$D$314,4,FALSE)*$D$315,0)</f>
        <v>1137903</v>
      </c>
      <c r="E67" s="25">
        <f>ROUND(VLOOKUP(A67,'Contribution Allocation_Report'!$A$9:$D$314,4,FALSE)*$E$315,0)</f>
        <v>1495530</v>
      </c>
      <c r="J67" s="53"/>
      <c r="K67" s="168"/>
    </row>
    <row r="68" spans="1:11">
      <c r="A68" s="12">
        <v>2620</v>
      </c>
      <c r="B68" s="13" t="s">
        <v>59</v>
      </c>
      <c r="C68" s="26">
        <f>ROUND(VLOOKUP(A68,'Contribution Allocation_Report'!$A$9:$D$314,4,FALSE)*$C$315,0)</f>
        <v>8363086</v>
      </c>
      <c r="D68" s="26">
        <f>ROUND(VLOOKUP(A68,'Contribution Allocation_Report'!$A$9:$D$314,4,FALSE)*$D$315,0)</f>
        <v>11249471</v>
      </c>
      <c r="E68" s="26">
        <f>ROUND(VLOOKUP(A68,'Contribution Allocation_Report'!$A$9:$D$314,4,FALSE)*$E$315,0)</f>
        <v>14785016</v>
      </c>
      <c r="J68" s="51"/>
      <c r="K68" s="168"/>
    </row>
    <row r="69" spans="1:11">
      <c r="A69" s="10">
        <v>2630</v>
      </c>
      <c r="B69" s="11" t="s">
        <v>60</v>
      </c>
      <c r="C69" s="25">
        <f>ROUND(VLOOKUP(A69,'Contribution Allocation_Report'!$A$9:$D$314,4,FALSE)*$C$315,0)</f>
        <v>5817073</v>
      </c>
      <c r="D69" s="25">
        <f>ROUND(VLOOKUP(A69,'Contribution Allocation_Report'!$A$9:$D$314,4,FALSE)*$D$315,0)</f>
        <v>7824742</v>
      </c>
      <c r="E69" s="25">
        <f>ROUND(VLOOKUP(A69,'Contribution Allocation_Report'!$A$9:$D$314,4,FALSE)*$E$315,0)</f>
        <v>10283944</v>
      </c>
      <c r="J69" s="53"/>
      <c r="K69" s="168"/>
    </row>
    <row r="70" spans="1:11">
      <c r="A70" s="12">
        <v>2690</v>
      </c>
      <c r="B70" s="13" t="s">
        <v>61</v>
      </c>
      <c r="C70" s="26">
        <f>ROUND(VLOOKUP(A70,'Contribution Allocation_Report'!$A$9:$D$314,4,FALSE)*$C$315,0)</f>
        <v>16245810</v>
      </c>
      <c r="D70" s="26">
        <f>ROUND(VLOOKUP(A70,'Contribution Allocation_Report'!$A$9:$D$314,4,FALSE)*$D$315,0)</f>
        <v>21852789</v>
      </c>
      <c r="E70" s="26">
        <f>ROUND(VLOOKUP(A70,'Contribution Allocation_Report'!$A$9:$D$314,4,FALSE)*$E$315,0)</f>
        <v>28720804</v>
      </c>
      <c r="J70" s="51"/>
      <c r="K70" s="168"/>
    </row>
    <row r="71" spans="1:11">
      <c r="A71" s="10">
        <v>2710</v>
      </c>
      <c r="B71" s="11" t="s">
        <v>62</v>
      </c>
      <c r="C71" s="25">
        <f>ROUND(VLOOKUP(A71,'Contribution Allocation_Report'!$A$9:$D$314,4,FALSE)*$C$315,0)</f>
        <v>126297</v>
      </c>
      <c r="D71" s="25">
        <f>ROUND(VLOOKUP(A71,'Contribution Allocation_Report'!$A$9:$D$314,4,FALSE)*$D$315,0)</f>
        <v>169886</v>
      </c>
      <c r="E71" s="25">
        <f>ROUND(VLOOKUP(A71,'Contribution Allocation_Report'!$A$9:$D$314,4,FALSE)*$E$315,0)</f>
        <v>223279</v>
      </c>
      <c r="J71" s="53"/>
      <c r="K71" s="168"/>
    </row>
    <row r="72" spans="1:11">
      <c r="A72" s="12">
        <v>2730</v>
      </c>
      <c r="B72" s="13" t="s">
        <v>63</v>
      </c>
      <c r="C72" s="26">
        <f>ROUND(VLOOKUP(A72,'Contribution Allocation_Report'!$A$9:$D$314,4,FALSE)*$C$315,0)</f>
        <v>1357178</v>
      </c>
      <c r="D72" s="26">
        <f>ROUND(VLOOKUP(A72,'Contribution Allocation_Report'!$A$9:$D$314,4,FALSE)*$D$315,0)</f>
        <v>1825586</v>
      </c>
      <c r="E72" s="26">
        <f>ROUND(VLOOKUP(A72,'Contribution Allocation_Report'!$A$9:$D$314,4,FALSE)*$E$315,0)</f>
        <v>2399341</v>
      </c>
      <c r="J72" s="51"/>
      <c r="K72" s="168"/>
    </row>
    <row r="73" spans="1:11">
      <c r="A73" s="10">
        <v>2950</v>
      </c>
      <c r="B73" s="11" t="s">
        <v>64</v>
      </c>
      <c r="C73" s="25">
        <f>ROUND(VLOOKUP(A73,'Contribution Allocation_Report'!$A$9:$D$314,4,FALSE)*$C$315,0)</f>
        <v>1123273</v>
      </c>
      <c r="D73" s="25">
        <f>ROUND(VLOOKUP(A73,'Contribution Allocation_Report'!$A$9:$D$314,4,FALSE)*$D$315,0)</f>
        <v>1510952</v>
      </c>
      <c r="E73" s="25">
        <f>ROUND(VLOOKUP(A73,'Contribution Allocation_Report'!$A$9:$D$314,4,FALSE)*$E$315,0)</f>
        <v>1985822</v>
      </c>
      <c r="J73" s="53"/>
      <c r="K73" s="168"/>
    </row>
    <row r="74" spans="1:11">
      <c r="A74" s="12">
        <v>2760</v>
      </c>
      <c r="B74" s="13" t="s">
        <v>65</v>
      </c>
      <c r="C74" s="26">
        <f>ROUND(VLOOKUP(A74,'Contribution Allocation_Report'!$A$9:$D$314,4,FALSE)*$C$315,0)</f>
        <v>765546</v>
      </c>
      <c r="D74" s="26">
        <f>ROUND(VLOOKUP(A74,'Contribution Allocation_Report'!$A$9:$D$314,4,FALSE)*$D$315,0)</f>
        <v>1029762</v>
      </c>
      <c r="E74" s="26">
        <f>ROUND(VLOOKUP(A74,'Contribution Allocation_Report'!$A$9:$D$314,4,FALSE)*$E$315,0)</f>
        <v>1353401</v>
      </c>
      <c r="J74" s="51"/>
      <c r="K74" s="168"/>
    </row>
    <row r="75" spans="1:11">
      <c r="A75" s="10">
        <v>2780</v>
      </c>
      <c r="B75" s="11" t="s">
        <v>66</v>
      </c>
      <c r="C75" s="25">
        <f>ROUND(VLOOKUP(A75,'Contribution Allocation_Report'!$A$9:$D$314,4,FALSE)*$C$315,0)</f>
        <v>85660</v>
      </c>
      <c r="D75" s="25">
        <f>ROUND(VLOOKUP(A75,'Contribution Allocation_Report'!$A$9:$D$314,4,FALSE)*$D$315,0)</f>
        <v>115224</v>
      </c>
      <c r="E75" s="25">
        <f>ROUND(VLOOKUP(A75,'Contribution Allocation_Report'!$A$9:$D$314,4,FALSE)*$E$315,0)</f>
        <v>151437</v>
      </c>
      <c r="J75" s="53"/>
      <c r="K75" s="168"/>
    </row>
    <row r="76" spans="1:11">
      <c r="A76" s="12">
        <v>2810</v>
      </c>
      <c r="B76" s="13" t="s">
        <v>67</v>
      </c>
      <c r="C76" s="26">
        <f>ROUND(VLOOKUP(A76,'Contribution Allocation_Report'!$A$9:$D$314,4,FALSE)*$C$315,0)</f>
        <v>582236</v>
      </c>
      <c r="D76" s="26">
        <f>ROUND(VLOOKUP(A76,'Contribution Allocation_Report'!$A$9:$D$314,4,FALSE)*$D$315,0)</f>
        <v>783186</v>
      </c>
      <c r="E76" s="26">
        <f>ROUND(VLOOKUP(A76,'Contribution Allocation_Report'!$A$9:$D$314,4,FALSE)*$E$315,0)</f>
        <v>1029330</v>
      </c>
      <c r="J76" s="51"/>
      <c r="K76" s="168"/>
    </row>
    <row r="77" spans="1:11">
      <c r="A77" s="10">
        <v>18056</v>
      </c>
      <c r="B77" s="11" t="s">
        <v>68</v>
      </c>
      <c r="C77" s="25">
        <f>ROUND(VLOOKUP(A77,'Contribution Allocation_Report'!$A$9:$D$314,4,FALSE)*$C$315,0)</f>
        <v>779140</v>
      </c>
      <c r="D77" s="25">
        <f>ROUND(VLOOKUP(A77,'Contribution Allocation_Report'!$A$9:$D$314,4,FALSE)*$D$315,0)</f>
        <v>1048047</v>
      </c>
      <c r="E77" s="25">
        <f>ROUND(VLOOKUP(A77,'Contribution Allocation_Report'!$A$9:$D$314,4,FALSE)*$E$315,0)</f>
        <v>1377433</v>
      </c>
      <c r="J77" s="53"/>
      <c r="K77" s="168"/>
    </row>
    <row r="78" spans="1:11">
      <c r="A78" s="12">
        <v>15047</v>
      </c>
      <c r="B78" s="13" t="s">
        <v>69</v>
      </c>
      <c r="C78" s="26">
        <f>ROUND(VLOOKUP(A78,'Contribution Allocation_Report'!$A$9:$D$314,4,FALSE)*$C$315,0)</f>
        <v>718372</v>
      </c>
      <c r="D78" s="26">
        <f>ROUND(VLOOKUP(A78,'Contribution Allocation_Report'!$A$9:$D$314,4,FALSE)*$D$315,0)</f>
        <v>966307</v>
      </c>
      <c r="E78" s="26">
        <f>ROUND(VLOOKUP(A78,'Contribution Allocation_Report'!$A$9:$D$314,4,FALSE)*$E$315,0)</f>
        <v>1270003</v>
      </c>
      <c r="J78" s="51"/>
      <c r="K78" s="168"/>
    </row>
    <row r="79" spans="1:11">
      <c r="A79" s="12">
        <v>5012</v>
      </c>
      <c r="B79" s="43" t="s">
        <v>70</v>
      </c>
      <c r="C79" s="67">
        <f>ROUND(VLOOKUP(A79,'Contribution Allocation_Report'!$A$9:$D$314,4,FALSE)*$C$315,0)</f>
        <v>11525001</v>
      </c>
      <c r="D79" s="67">
        <f>ROUND(VLOOKUP(A79,'Contribution Allocation_Report'!$A$9:$D$314,4,FALSE)*$D$315,0)</f>
        <v>15502669</v>
      </c>
      <c r="E79" s="67">
        <f>ROUND(VLOOKUP(A79,'Contribution Allocation_Report'!$A$9:$D$314,4,FALSE)*$E$315,0)</f>
        <v>20374933</v>
      </c>
      <c r="J79" s="53"/>
      <c r="K79" s="168"/>
    </row>
    <row r="80" spans="1:11">
      <c r="A80" s="10">
        <v>8024</v>
      </c>
      <c r="B80" s="11" t="s">
        <v>71</v>
      </c>
      <c r="C80" s="25">
        <f>ROUND(VLOOKUP(A80,'Contribution Allocation_Report'!$A$9:$D$314,4,FALSE)*$C$315,0)</f>
        <v>1867655</v>
      </c>
      <c r="D80" s="25">
        <f>ROUND(VLOOKUP(A80,'Contribution Allocation_Report'!$A$9:$D$314,4,FALSE)*$D$315,0)</f>
        <v>2512246</v>
      </c>
      <c r="E80" s="25">
        <f>ROUND(VLOOKUP(A80,'Contribution Allocation_Report'!$A$9:$D$314,4,FALSE)*$E$315,0)</f>
        <v>3301809</v>
      </c>
      <c r="J80" s="51"/>
      <c r="K80" s="168"/>
    </row>
    <row r="81" spans="1:11">
      <c r="A81" s="12">
        <v>3050</v>
      </c>
      <c r="B81" s="13" t="s">
        <v>72</v>
      </c>
      <c r="C81" s="26">
        <f>ROUND(VLOOKUP(A81,'Contribution Allocation_Report'!$A$9:$D$314,4,FALSE)*$C$315,0)</f>
        <v>764471</v>
      </c>
      <c r="D81" s="26">
        <f>ROUND(VLOOKUP(A81,'Contribution Allocation_Report'!$A$9:$D$314,4,FALSE)*$D$315,0)</f>
        <v>1028315</v>
      </c>
      <c r="E81" s="26">
        <f>ROUND(VLOOKUP(A81,'Contribution Allocation_Report'!$A$9:$D$314,4,FALSE)*$E$315,0)</f>
        <v>1351500</v>
      </c>
      <c r="J81" s="53"/>
      <c r="K81" s="168"/>
    </row>
    <row r="82" spans="1:11">
      <c r="A82" s="10">
        <v>2421</v>
      </c>
      <c r="B82" s="11" t="s">
        <v>73</v>
      </c>
      <c r="C82" s="25">
        <f>ROUND(VLOOKUP(A82,'Contribution Allocation_Report'!$A$9:$D$314,4,FALSE)*$C$315,0)</f>
        <v>300996</v>
      </c>
      <c r="D82" s="25">
        <f>ROUND(VLOOKUP(A82,'Contribution Allocation_Report'!$A$9:$D$314,4,FALSE)*$D$315,0)</f>
        <v>404880</v>
      </c>
      <c r="E82" s="25">
        <f>ROUND(VLOOKUP(A82,'Contribution Allocation_Report'!$A$9:$D$314,4,FALSE)*$E$315,0)</f>
        <v>532127</v>
      </c>
      <c r="J82" s="51"/>
      <c r="K82" s="168"/>
    </row>
    <row r="83" spans="1:11">
      <c r="A83" s="12">
        <v>26079</v>
      </c>
      <c r="B83" s="13" t="s">
        <v>74</v>
      </c>
      <c r="C83" s="26">
        <f>ROUND(VLOOKUP(A83,'Contribution Allocation_Report'!$A$9:$D$314,4,FALSE)*$C$315,0)</f>
        <v>301568</v>
      </c>
      <c r="D83" s="26">
        <f>ROUND(VLOOKUP(A83,'Contribution Allocation_Report'!$A$9:$D$314,4,FALSE)*$D$315,0)</f>
        <v>405649</v>
      </c>
      <c r="E83" s="26">
        <f>ROUND(VLOOKUP(A83,'Contribution Allocation_Report'!$A$9:$D$314,4,FALSE)*$E$315,0)</f>
        <v>533138</v>
      </c>
      <c r="J83" s="53"/>
      <c r="K83" s="168"/>
    </row>
    <row r="84" spans="1:11">
      <c r="A84" s="10">
        <v>2363</v>
      </c>
      <c r="B84" s="11" t="s">
        <v>75</v>
      </c>
      <c r="C84" s="25">
        <f>ROUND(VLOOKUP(A84,'Contribution Allocation_Report'!$A$9:$D$314,4,FALSE)*$C$315,0)</f>
        <v>327006</v>
      </c>
      <c r="D84" s="25">
        <f>ROUND(VLOOKUP(A84,'Contribution Allocation_Report'!$A$9:$D$314,4,FALSE)*$D$315,0)</f>
        <v>439867</v>
      </c>
      <c r="E84" s="25">
        <f>ROUND(VLOOKUP(A84,'Contribution Allocation_Report'!$A$9:$D$314,4,FALSE)*$E$315,0)</f>
        <v>578111</v>
      </c>
      <c r="J84" s="51"/>
      <c r="K84" s="168"/>
    </row>
    <row r="85" spans="1:11">
      <c r="A85" s="12">
        <v>2364</v>
      </c>
      <c r="B85" s="13" t="s">
        <v>76</v>
      </c>
      <c r="C85" s="26">
        <f>ROUND(VLOOKUP(A85,'Contribution Allocation_Report'!$A$9:$D$314,4,FALSE)*$C$315,0)</f>
        <v>1135826</v>
      </c>
      <c r="D85" s="26">
        <f>ROUND(VLOOKUP(A85,'Contribution Allocation_Report'!$A$9:$D$314,4,FALSE)*$D$315,0)</f>
        <v>1527837</v>
      </c>
      <c r="E85" s="26">
        <f>ROUND(VLOOKUP(A85,'Contribution Allocation_Report'!$A$9:$D$314,4,FALSE)*$E$315,0)</f>
        <v>2008015</v>
      </c>
      <c r="J85" s="53"/>
      <c r="K85" s="168"/>
    </row>
    <row r="86" spans="1:11">
      <c r="A86" s="10">
        <v>25319</v>
      </c>
      <c r="B86" s="11" t="s">
        <v>77</v>
      </c>
      <c r="C86" s="25">
        <f>ROUND(VLOOKUP(A86,'Contribution Allocation_Report'!$A$9:$D$314,4,FALSE)*$C$315,0)</f>
        <v>262586</v>
      </c>
      <c r="D86" s="25">
        <f>ROUND(VLOOKUP(A86,'Contribution Allocation_Report'!$A$9:$D$314,4,FALSE)*$D$315,0)</f>
        <v>353214</v>
      </c>
      <c r="E86" s="25">
        <f>ROUND(VLOOKUP(A86,'Contribution Allocation_Report'!$A$9:$D$314,4,FALSE)*$E$315,0)</f>
        <v>464224</v>
      </c>
      <c r="J86" s="51"/>
      <c r="K86" s="168"/>
    </row>
    <row r="87" spans="1:11">
      <c r="A87" s="12">
        <v>29087</v>
      </c>
      <c r="B87" s="23" t="s">
        <v>78</v>
      </c>
      <c r="C87" s="26">
        <f>ROUND(VLOOKUP(A87,'Contribution Allocation_Report'!$A$9:$D$314,4,FALSE)*$C$315,0)</f>
        <v>2229367</v>
      </c>
      <c r="D87" s="26">
        <f>ROUND(VLOOKUP(A87,'Contribution Allocation_Report'!$A$9:$D$314,4,FALSE)*$D$315,0)</f>
        <v>2998797</v>
      </c>
      <c r="E87" s="26">
        <f>ROUND(VLOOKUP(A87,'Contribution Allocation_Report'!$A$9:$D$314,4,FALSE)*$E$315,0)</f>
        <v>3941276</v>
      </c>
      <c r="J87" s="53"/>
      <c r="K87" s="168"/>
    </row>
    <row r="88" spans="1:11">
      <c r="A88" s="10">
        <v>3060</v>
      </c>
      <c r="B88" s="11" t="s">
        <v>79</v>
      </c>
      <c r="C88" s="25">
        <f>ROUND(VLOOKUP(A88,'Contribution Allocation_Report'!$A$9:$D$314,4,FALSE)*$C$315,0)</f>
        <v>1278985</v>
      </c>
      <c r="D88" s="25">
        <f>ROUND(VLOOKUP(A88,'Contribution Allocation_Report'!$A$9:$D$314,4,FALSE)*$D$315,0)</f>
        <v>1720405</v>
      </c>
      <c r="E88" s="25">
        <f>ROUND(VLOOKUP(A88,'Contribution Allocation_Report'!$A$9:$D$314,4,FALSE)*$E$315,0)</f>
        <v>2261104</v>
      </c>
      <c r="J88" s="51"/>
      <c r="K88" s="168"/>
    </row>
    <row r="89" spans="1:11">
      <c r="A89" s="12">
        <v>19301</v>
      </c>
      <c r="B89" s="13" t="s">
        <v>80</v>
      </c>
      <c r="C89" s="26">
        <f>ROUND(VLOOKUP(A89,'Contribution Allocation_Report'!$A$9:$D$314,4,FALSE)*$C$315,0)</f>
        <v>230799</v>
      </c>
      <c r="D89" s="26">
        <f>ROUND(VLOOKUP(A89,'Contribution Allocation_Report'!$A$9:$D$314,4,FALSE)*$D$315,0)</f>
        <v>310455</v>
      </c>
      <c r="E89" s="26">
        <f>ROUND(VLOOKUP(A89,'Contribution Allocation_Report'!$A$9:$D$314,4,FALSE)*$E$315,0)</f>
        <v>408027</v>
      </c>
      <c r="J89" s="53"/>
      <c r="K89" s="168"/>
    </row>
    <row r="90" spans="1:11">
      <c r="A90" s="10">
        <v>19059</v>
      </c>
      <c r="B90" s="11" t="s">
        <v>81</v>
      </c>
      <c r="C90" s="25">
        <f>ROUND(VLOOKUP(A90,'Contribution Allocation_Report'!$A$9:$D$314,4,FALSE)*$C$315,0)</f>
        <v>7955745</v>
      </c>
      <c r="D90" s="25">
        <f>ROUND(VLOOKUP(A90,'Contribution Allocation_Report'!$A$9:$D$314,4,FALSE)*$D$315,0)</f>
        <v>10701543</v>
      </c>
      <c r="E90" s="25">
        <f>ROUND(VLOOKUP(A90,'Contribution Allocation_Report'!$A$9:$D$314,4,FALSE)*$E$315,0)</f>
        <v>14064882</v>
      </c>
      <c r="J90" s="51"/>
      <c r="K90" s="168"/>
    </row>
    <row r="91" spans="1:11">
      <c r="A91" s="12">
        <v>18057</v>
      </c>
      <c r="B91" s="13" t="s">
        <v>82</v>
      </c>
      <c r="C91" s="26">
        <f>ROUND(VLOOKUP(A91,'Contribution Allocation_Report'!$A$9:$D$314,4,FALSE)*$C$315,0)</f>
        <v>341300</v>
      </c>
      <c r="D91" s="26">
        <f>ROUND(VLOOKUP(A91,'Contribution Allocation_Report'!$A$9:$D$314,4,FALSE)*$D$315,0)</f>
        <v>459094</v>
      </c>
      <c r="E91" s="26">
        <f>ROUND(VLOOKUP(A91,'Contribution Allocation_Report'!$A$9:$D$314,4,FALSE)*$E$315,0)</f>
        <v>603380</v>
      </c>
      <c r="J91" s="53"/>
      <c r="K91" s="168"/>
    </row>
    <row r="92" spans="1:11">
      <c r="A92" s="10">
        <v>4008</v>
      </c>
      <c r="B92" s="11" t="s">
        <v>83</v>
      </c>
      <c r="C92" s="25">
        <f>ROUND(VLOOKUP(A92,'Contribution Allocation_Report'!$A$9:$D$314,4,FALSE)*$C$315,0)</f>
        <v>1314032</v>
      </c>
      <c r="D92" s="25">
        <f>ROUND(VLOOKUP(A92,'Contribution Allocation_Report'!$A$9:$D$314,4,FALSE)*$D$315,0)</f>
        <v>1767549</v>
      </c>
      <c r="E92" s="25">
        <f>ROUND(VLOOKUP(A92,'Contribution Allocation_Report'!$A$9:$D$314,4,FALSE)*$E$315,0)</f>
        <v>2323064</v>
      </c>
      <c r="J92" s="51"/>
      <c r="K92" s="168"/>
    </row>
    <row r="93" spans="1:11">
      <c r="A93" s="12">
        <v>2350</v>
      </c>
      <c r="B93" s="13" t="s">
        <v>84</v>
      </c>
      <c r="C93" s="26">
        <f>ROUND(VLOOKUP(A93,'Contribution Allocation_Report'!$A$9:$D$314,4,FALSE)*$C$315,0)</f>
        <v>387244</v>
      </c>
      <c r="D93" s="26">
        <f>ROUND(VLOOKUP(A93,'Contribution Allocation_Report'!$A$9:$D$314,4,FALSE)*$D$315,0)</f>
        <v>520896</v>
      </c>
      <c r="E93" s="26">
        <f>ROUND(VLOOKUP(A93,'Contribution Allocation_Report'!$A$9:$D$314,4,FALSE)*$E$315,0)</f>
        <v>684606</v>
      </c>
      <c r="J93" s="53"/>
      <c r="K93" s="168"/>
    </row>
    <row r="94" spans="1:11">
      <c r="A94" s="10">
        <v>11117</v>
      </c>
      <c r="B94" s="11" t="s">
        <v>85</v>
      </c>
      <c r="C94" s="25">
        <f>ROUND(VLOOKUP(A94,'Contribution Allocation_Report'!$A$9:$D$314,4,FALSE)*$C$315,0)</f>
        <v>454190</v>
      </c>
      <c r="D94" s="25">
        <f>ROUND(VLOOKUP(A94,'Contribution Allocation_Report'!$A$9:$D$314,4,FALSE)*$D$315,0)</f>
        <v>610947</v>
      </c>
      <c r="E94" s="25">
        <f>ROUND(VLOOKUP(A94,'Contribution Allocation_Report'!$A$9:$D$314,4,FALSE)*$E$315,0)</f>
        <v>802958</v>
      </c>
      <c r="J94" s="51"/>
      <c r="K94" s="168"/>
    </row>
    <row r="95" spans="1:11">
      <c r="A95" s="12">
        <v>16359</v>
      </c>
      <c r="B95" s="13" t="s">
        <v>86</v>
      </c>
      <c r="C95" s="26">
        <f>ROUND(VLOOKUP(A95,'Contribution Allocation_Report'!$A$9:$D$314,4,FALSE)*$C$315,0)</f>
        <v>87290</v>
      </c>
      <c r="D95" s="26">
        <f>ROUND(VLOOKUP(A95,'Contribution Allocation_Report'!$A$9:$D$314,4,FALSE)*$D$315,0)</f>
        <v>117416</v>
      </c>
      <c r="E95" s="26">
        <f>ROUND(VLOOKUP(A95,'Contribution Allocation_Report'!$A$9:$D$314,4,FALSE)*$E$315,0)</f>
        <v>154319</v>
      </c>
      <c r="J95" s="53"/>
      <c r="K95" s="168"/>
    </row>
    <row r="96" spans="1:11">
      <c r="A96" s="10">
        <v>17115</v>
      </c>
      <c r="B96" s="11" t="s">
        <v>87</v>
      </c>
      <c r="C96" s="25">
        <f>ROUND(VLOOKUP(A96,'Contribution Allocation_Report'!$A$9:$D$314,4,FALSE)*$C$315,0)</f>
        <v>1674763</v>
      </c>
      <c r="D96" s="25">
        <f>ROUND(VLOOKUP(A96,'Contribution Allocation_Report'!$A$9:$D$314,4,FALSE)*$D$315,0)</f>
        <v>2252780</v>
      </c>
      <c r="E96" s="25">
        <f>ROUND(VLOOKUP(A96,'Contribution Allocation_Report'!$A$9:$D$314,4,FALSE)*$E$315,0)</f>
        <v>2960796</v>
      </c>
      <c r="J96" s="51"/>
      <c r="K96" s="168"/>
    </row>
    <row r="97" spans="1:11">
      <c r="A97" s="12">
        <v>13437</v>
      </c>
      <c r="B97" s="13" t="s">
        <v>88</v>
      </c>
      <c r="C97" s="26">
        <f>ROUND(VLOOKUP(A97,'Contribution Allocation_Report'!$A$9:$D$314,4,FALSE)*$C$315,0)</f>
        <v>159211</v>
      </c>
      <c r="D97" s="26">
        <f>ROUND(VLOOKUP(A97,'Contribution Allocation_Report'!$A$9:$D$314,4,FALSE)*$D$315,0)</f>
        <v>214160</v>
      </c>
      <c r="E97" s="26">
        <f>ROUND(VLOOKUP(A97,'Contribution Allocation_Report'!$A$9:$D$314,4,FALSE)*$E$315,0)</f>
        <v>281467</v>
      </c>
      <c r="J97" s="53"/>
      <c r="K97" s="168"/>
    </row>
    <row r="98" spans="1:11">
      <c r="A98" s="10">
        <v>2304</v>
      </c>
      <c r="B98" s="11" t="s">
        <v>89</v>
      </c>
      <c r="C98" s="25">
        <f>ROUND(VLOOKUP(A98,'Contribution Allocation_Report'!$A$9:$D$314,4,FALSE)*$C$315,0)</f>
        <v>601275</v>
      </c>
      <c r="D98" s="25">
        <f>ROUND(VLOOKUP(A98,'Contribution Allocation_Report'!$A$9:$D$314,4,FALSE)*$D$315,0)</f>
        <v>808795</v>
      </c>
      <c r="E98" s="25">
        <f>ROUND(VLOOKUP(A98,'Contribution Allocation_Report'!$A$9:$D$314,4,FALSE)*$E$315,0)</f>
        <v>1062988</v>
      </c>
      <c r="J98" s="51"/>
      <c r="K98" s="168"/>
    </row>
    <row r="99" spans="1:11">
      <c r="A99" s="12">
        <v>11101</v>
      </c>
      <c r="B99" s="13" t="s">
        <v>91</v>
      </c>
      <c r="C99" s="26">
        <f>ROUND(VLOOKUP(A99,'Contribution Allocation_Report'!$A$9:$D$314,4,FALSE)*$C$315,0)</f>
        <v>6834606</v>
      </c>
      <c r="D99" s="26">
        <f>ROUND(VLOOKUP(A99,'Contribution Allocation_Report'!$A$9:$D$314,4,FALSE)*$D$315,0)</f>
        <v>9193460</v>
      </c>
      <c r="E99" s="26">
        <f>ROUND(VLOOKUP(A99,'Contribution Allocation_Report'!$A$9:$D$314,4,FALSE)*$E$315,0)</f>
        <v>12082831</v>
      </c>
      <c r="J99" s="53"/>
      <c r="K99" s="168"/>
    </row>
    <row r="100" spans="1:11">
      <c r="A100" s="10">
        <v>11102</v>
      </c>
      <c r="B100" s="11" t="s">
        <v>90</v>
      </c>
      <c r="C100" s="25">
        <f>ROUND(VLOOKUP(A100,'Contribution Allocation_Report'!$A$9:$D$314,4,FALSE)*$C$315,0)</f>
        <v>2215219</v>
      </c>
      <c r="D100" s="25">
        <f>ROUND(VLOOKUP(A100,'Contribution Allocation_Report'!$A$9:$D$314,4,FALSE)*$D$315,0)</f>
        <v>2979766</v>
      </c>
      <c r="E100" s="25">
        <f>ROUND(VLOOKUP(A100,'Contribution Allocation_Report'!$A$9:$D$314,4,FALSE)*$E$315,0)</f>
        <v>3916263</v>
      </c>
      <c r="J100" s="51"/>
      <c r="K100" s="168"/>
    </row>
    <row r="101" spans="1:11">
      <c r="A101" s="12">
        <v>3100</v>
      </c>
      <c r="B101" s="13" t="s">
        <v>92</v>
      </c>
      <c r="C101" s="26">
        <f>ROUND(VLOOKUP(A101,'Contribution Allocation_Report'!$A$9:$D$314,4,FALSE)*$C$315,0)</f>
        <v>4645654</v>
      </c>
      <c r="D101" s="26">
        <f>ROUND(VLOOKUP(A101,'Contribution Allocation_Report'!$A$9:$D$314,4,FALSE)*$D$315,0)</f>
        <v>6249026</v>
      </c>
      <c r="E101" s="26">
        <f>ROUND(VLOOKUP(A101,'Contribution Allocation_Report'!$A$9:$D$314,4,FALSE)*$E$315,0)</f>
        <v>8213004</v>
      </c>
      <c r="J101" s="53"/>
      <c r="K101" s="168"/>
    </row>
    <row r="102" spans="1:11">
      <c r="A102" s="10">
        <v>2323</v>
      </c>
      <c r="B102" s="11" t="s">
        <v>93</v>
      </c>
      <c r="C102" s="25">
        <f>ROUND(VLOOKUP(A102,'Contribution Allocation_Report'!$A$9:$D$314,4,FALSE)*$C$315,0)</f>
        <v>442696</v>
      </c>
      <c r="D102" s="25">
        <f>ROUND(VLOOKUP(A102,'Contribution Allocation_Report'!$A$9:$D$314,4,FALSE)*$D$315,0)</f>
        <v>595485</v>
      </c>
      <c r="E102" s="25">
        <f>ROUND(VLOOKUP(A102,'Contribution Allocation_Report'!$A$9:$D$314,4,FALSE)*$E$315,0)</f>
        <v>782637</v>
      </c>
      <c r="J102" s="51"/>
      <c r="K102" s="168"/>
    </row>
    <row r="103" spans="1:11">
      <c r="A103" s="12">
        <v>11034</v>
      </c>
      <c r="B103" s="13" t="s">
        <v>94</v>
      </c>
      <c r="C103" s="26">
        <f>ROUND(VLOOKUP(A103,'Contribution Allocation_Report'!$A$9:$D$314,4,FALSE)*$C$315,0)</f>
        <v>384701</v>
      </c>
      <c r="D103" s="26">
        <f>ROUND(VLOOKUP(A103,'Contribution Allocation_Report'!$A$9:$D$314,4,FALSE)*$D$315,0)</f>
        <v>517475</v>
      </c>
      <c r="E103" s="26">
        <f>ROUND(VLOOKUP(A103,'Contribution Allocation_Report'!$A$9:$D$314,4,FALSE)*$E$315,0)</f>
        <v>680110</v>
      </c>
      <c r="J103" s="53"/>
      <c r="K103" s="168"/>
    </row>
    <row r="104" spans="1:11">
      <c r="A104" s="10">
        <v>588001</v>
      </c>
      <c r="B104" s="11" t="s">
        <v>475</v>
      </c>
      <c r="C104" s="25">
        <f>ROUND(VLOOKUP(A104,'Contribution Allocation_Report'!$A$9:$D$314,4,FALSE)*$C$315,0)</f>
        <v>13346</v>
      </c>
      <c r="D104" s="25">
        <f>ROUND(VLOOKUP(A104,'Contribution Allocation_Report'!$A$9:$D$314,4,FALSE)*$D$315,0)</f>
        <v>17953</v>
      </c>
      <c r="E104" s="25">
        <f>ROUND(VLOOKUP(A104,'Contribution Allocation_Report'!$A$9:$D$314,4,FALSE)*$E$315,0)</f>
        <v>23595</v>
      </c>
      <c r="J104" s="51"/>
      <c r="K104" s="168"/>
    </row>
    <row r="105" spans="1:11">
      <c r="A105" s="12">
        <v>17054</v>
      </c>
      <c r="B105" s="13" t="s">
        <v>95</v>
      </c>
      <c r="C105" s="26">
        <f>ROUND(VLOOKUP(A105,'Contribution Allocation_Report'!$A$9:$D$314,4,FALSE)*$C$315,0)</f>
        <v>4885464</v>
      </c>
      <c r="D105" s="26">
        <f>ROUND(VLOOKUP(A105,'Contribution Allocation_Report'!$A$9:$D$314,4,FALSE)*$D$315,0)</f>
        <v>6571603</v>
      </c>
      <c r="E105" s="26">
        <f>ROUND(VLOOKUP(A105,'Contribution Allocation_Report'!$A$9:$D$314,4,FALSE)*$E$315,0)</f>
        <v>8636962</v>
      </c>
      <c r="J105" s="53"/>
      <c r="K105" s="168"/>
    </row>
    <row r="106" spans="1:11">
      <c r="A106" s="10">
        <v>22065</v>
      </c>
      <c r="B106" s="11" t="s">
        <v>96</v>
      </c>
      <c r="C106" s="25">
        <f>ROUND(VLOOKUP(A106,'Contribution Allocation_Report'!$A$9:$D$314,4,FALSE)*$C$315,0)</f>
        <v>1262361</v>
      </c>
      <c r="D106" s="25">
        <f>ROUND(VLOOKUP(A106,'Contribution Allocation_Report'!$A$9:$D$314,4,FALSE)*$D$315,0)</f>
        <v>1698045</v>
      </c>
      <c r="E106" s="25">
        <f>ROUND(VLOOKUP(A106,'Contribution Allocation_Report'!$A$9:$D$314,4,FALSE)*$E$315,0)</f>
        <v>2231716</v>
      </c>
      <c r="J106" s="51"/>
      <c r="K106" s="168"/>
    </row>
    <row r="107" spans="1:11">
      <c r="A107" s="12">
        <v>22201</v>
      </c>
      <c r="B107" s="13" t="s">
        <v>97</v>
      </c>
      <c r="C107" s="26">
        <f>ROUND(VLOOKUP(A107,'Contribution Allocation_Report'!$A$9:$D$314,4,FALSE)*$C$315,0)</f>
        <v>684161</v>
      </c>
      <c r="D107" s="26">
        <f>ROUND(VLOOKUP(A107,'Contribution Allocation_Report'!$A$9:$D$314,4,FALSE)*$D$315,0)</f>
        <v>920288</v>
      </c>
      <c r="E107" s="26">
        <f>ROUND(VLOOKUP(A107,'Contribution Allocation_Report'!$A$9:$D$314,4,FALSE)*$E$315,0)</f>
        <v>1209522</v>
      </c>
      <c r="J107" s="53"/>
      <c r="K107" s="168"/>
    </row>
    <row r="108" spans="1:11">
      <c r="A108" s="10">
        <v>6016</v>
      </c>
      <c r="B108" s="11" t="s">
        <v>98</v>
      </c>
      <c r="C108" s="25">
        <f>ROUND(VLOOKUP(A108,'Contribution Allocation_Report'!$A$9:$D$314,4,FALSE)*$C$315,0)</f>
        <v>1260996</v>
      </c>
      <c r="D108" s="25">
        <f>ROUND(VLOOKUP(A108,'Contribution Allocation_Report'!$A$9:$D$314,4,FALSE)*$D$315,0)</f>
        <v>1696208</v>
      </c>
      <c r="E108" s="25">
        <f>ROUND(VLOOKUP(A108,'Contribution Allocation_Report'!$A$9:$D$314,4,FALSE)*$E$315,0)</f>
        <v>2229302</v>
      </c>
      <c r="J108" s="53"/>
      <c r="K108" s="168"/>
    </row>
    <row r="109" spans="1:11">
      <c r="A109" s="12">
        <v>2432</v>
      </c>
      <c r="B109" s="13" t="s">
        <v>99</v>
      </c>
      <c r="C109" s="26">
        <f>ROUND(VLOOKUP(A109,'Contribution Allocation_Report'!$A$9:$D$314,4,FALSE)*$C$315,0)</f>
        <v>2109667</v>
      </c>
      <c r="D109" s="26">
        <f>ROUND(VLOOKUP(A109,'Contribution Allocation_Report'!$A$9:$D$314,4,FALSE)*$D$315,0)</f>
        <v>2837785</v>
      </c>
      <c r="E109" s="26">
        <f>ROUND(VLOOKUP(A109,'Contribution Allocation_Report'!$A$9:$D$314,4,FALSE)*$E$315,0)</f>
        <v>3729659</v>
      </c>
      <c r="J109" s="51"/>
      <c r="K109" s="168"/>
    </row>
    <row r="110" spans="1:11">
      <c r="A110" s="10">
        <v>7440</v>
      </c>
      <c r="B110" s="11" t="s">
        <v>428</v>
      </c>
      <c r="C110" s="25">
        <f>ROUND(VLOOKUP(A110,'Contribution Allocation_Report'!$A$9:$D$314,4,FALSE)*$C$315,0)</f>
        <v>682113</v>
      </c>
      <c r="D110" s="25">
        <f>ROUND(VLOOKUP(A110,'Contribution Allocation_Report'!$A$9:$D$314,4,FALSE)*$D$315,0)</f>
        <v>917534</v>
      </c>
      <c r="E110" s="25">
        <f>ROUND(VLOOKUP(A110,'Contribution Allocation_Report'!$A$9:$D$314,4,FALSE)*$E$315,0)</f>
        <v>1205901</v>
      </c>
      <c r="J110" s="51"/>
      <c r="K110" s="168"/>
    </row>
    <row r="111" spans="1:11">
      <c r="A111" s="12">
        <v>29125</v>
      </c>
      <c r="B111" s="13" t="s">
        <v>454</v>
      </c>
      <c r="C111" s="26">
        <f>ROUND(VLOOKUP(A111,'Contribution Allocation_Report'!$A$9:$D$314,4,FALSE)*$C$315,0)</f>
        <v>439888</v>
      </c>
      <c r="D111" s="26">
        <f>ROUND(VLOOKUP(A111,'Contribution Allocation_Report'!$A$9:$D$314,4,FALSE)*$D$315,0)</f>
        <v>591708</v>
      </c>
      <c r="E111" s="26">
        <f>ROUND(VLOOKUP(A111,'Contribution Allocation_Report'!$A$9:$D$314,4,FALSE)*$E$315,0)</f>
        <v>777674</v>
      </c>
      <c r="J111" s="51"/>
      <c r="K111" s="168"/>
    </row>
    <row r="112" spans="1:11">
      <c r="A112" s="10">
        <v>16052</v>
      </c>
      <c r="B112" s="11" t="s">
        <v>100</v>
      </c>
      <c r="C112" s="25">
        <f>ROUND(VLOOKUP(A112,'Contribution Allocation_Report'!$A$9:$D$314,4,FALSE)*$C$315,0)</f>
        <v>14532211</v>
      </c>
      <c r="D112" s="25">
        <f>ROUND(VLOOKUP(A112,'Contribution Allocation_Report'!$A$9:$D$314,4,FALSE)*$D$315,0)</f>
        <v>19547769</v>
      </c>
      <c r="E112" s="25">
        <f>ROUND(VLOOKUP(A112,'Contribution Allocation_Report'!$A$9:$D$314,4,FALSE)*$E$315,0)</f>
        <v>25691350</v>
      </c>
      <c r="J112" s="53"/>
      <c r="K112" s="168"/>
    </row>
    <row r="113" spans="1:11">
      <c r="A113" s="12">
        <v>11118</v>
      </c>
      <c r="B113" s="13" t="s">
        <v>101</v>
      </c>
      <c r="C113" s="26">
        <f>ROUND(VLOOKUP(A113,'Contribution Allocation_Report'!$A$9:$D$314,4,FALSE)*$C$315,0)</f>
        <v>393457</v>
      </c>
      <c r="D113" s="26">
        <f>ROUND(VLOOKUP(A113,'Contribution Allocation_Report'!$A$9:$D$314,4,FALSE)*$D$315,0)</f>
        <v>529252</v>
      </c>
      <c r="E113" s="26">
        <f>ROUND(VLOOKUP(A113,'Contribution Allocation_Report'!$A$9:$D$314,4,FALSE)*$E$315,0)</f>
        <v>695589</v>
      </c>
      <c r="J113" s="51"/>
      <c r="K113" s="168"/>
    </row>
    <row r="114" spans="1:11">
      <c r="A114" s="10">
        <v>27083</v>
      </c>
      <c r="B114" s="11" t="s">
        <v>102</v>
      </c>
      <c r="C114" s="25">
        <f>ROUND(VLOOKUP(A114,'Contribution Allocation_Report'!$A$9:$D$314,4,FALSE)*$C$315,0)</f>
        <v>634692</v>
      </c>
      <c r="D114" s="25">
        <f>ROUND(VLOOKUP(A114,'Contribution Allocation_Report'!$A$9:$D$314,4,FALSE)*$D$315,0)</f>
        <v>853746</v>
      </c>
      <c r="E114" s="25">
        <f>ROUND(VLOOKUP(A114,'Contribution Allocation_Report'!$A$9:$D$314,4,FALSE)*$E$315,0)</f>
        <v>1122066</v>
      </c>
      <c r="J114" s="53"/>
      <c r="K114" s="168"/>
    </row>
    <row r="115" spans="1:11">
      <c r="A115" s="12">
        <v>7021</v>
      </c>
      <c r="B115" s="13" t="s">
        <v>103</v>
      </c>
      <c r="C115" s="26">
        <f>ROUND(VLOOKUP(A115,'Contribution Allocation_Report'!$A$9:$D$314,4,FALSE)*$C$315,0)</f>
        <v>20639672</v>
      </c>
      <c r="D115" s="26">
        <f>ROUND(VLOOKUP(A115,'Contribution Allocation_Report'!$A$9:$D$314,4,FALSE)*$D$315,0)</f>
        <v>27763122</v>
      </c>
      <c r="E115" s="26">
        <f>ROUND(VLOOKUP(A115,'Contribution Allocation_Report'!$A$9:$D$314,4,FALSE)*$E$315,0)</f>
        <v>36488669</v>
      </c>
      <c r="J115" s="51"/>
      <c r="K115" s="168"/>
    </row>
    <row r="116" spans="1:11">
      <c r="A116" s="10">
        <v>4140</v>
      </c>
      <c r="B116" s="11" t="s">
        <v>104</v>
      </c>
      <c r="C116" s="25">
        <f>ROUND(VLOOKUP(A116,'Contribution Allocation_Report'!$A$9:$D$314,4,FALSE)*$C$315,0)</f>
        <v>129070</v>
      </c>
      <c r="D116" s="25">
        <f>ROUND(VLOOKUP(A116,'Contribution Allocation_Report'!$A$9:$D$314,4,FALSE)*$D$315,0)</f>
        <v>173617</v>
      </c>
      <c r="E116" s="25">
        <f>ROUND(VLOOKUP(A116,'Contribution Allocation_Report'!$A$9:$D$314,4,FALSE)*$E$315,0)</f>
        <v>228182</v>
      </c>
      <c r="J116" s="53"/>
      <c r="K116" s="168"/>
    </row>
    <row r="117" spans="1:11">
      <c r="A117" s="12">
        <v>13041</v>
      </c>
      <c r="B117" s="13" t="s">
        <v>105</v>
      </c>
      <c r="C117" s="26">
        <f>ROUND(VLOOKUP(A117,'Contribution Allocation_Report'!$A$9:$D$314,4,FALSE)*$C$315,0)</f>
        <v>17421999</v>
      </c>
      <c r="D117" s="26">
        <f>ROUND(VLOOKUP(A117,'Contribution Allocation_Report'!$A$9:$D$314,4,FALSE)*$D$315,0)</f>
        <v>23434921</v>
      </c>
      <c r="E117" s="26">
        <f>ROUND(VLOOKUP(A117,'Contribution Allocation_Report'!$A$9:$D$314,4,FALSE)*$E$315,0)</f>
        <v>30800177</v>
      </c>
      <c r="J117" s="51"/>
      <c r="K117" s="168"/>
    </row>
    <row r="118" spans="1:11">
      <c r="A118" s="10">
        <v>2339</v>
      </c>
      <c r="B118" s="11" t="s">
        <v>106</v>
      </c>
      <c r="C118" s="25">
        <f>ROUND(VLOOKUP(A118,'Contribution Allocation_Report'!$A$9:$D$314,4,FALSE)*$C$315,0)</f>
        <v>278339</v>
      </c>
      <c r="D118" s="25">
        <f>ROUND(VLOOKUP(A118,'Contribution Allocation_Report'!$A$9:$D$314,4,FALSE)*$D$315,0)</f>
        <v>374403</v>
      </c>
      <c r="E118" s="25">
        <f>ROUND(VLOOKUP(A118,'Contribution Allocation_Report'!$A$9:$D$314,4,FALSE)*$E$315,0)</f>
        <v>492073</v>
      </c>
      <c r="J118" s="53"/>
      <c r="K118" s="168"/>
    </row>
    <row r="119" spans="1:11">
      <c r="A119" s="12">
        <v>2362</v>
      </c>
      <c r="B119" s="13" t="s">
        <v>107</v>
      </c>
      <c r="C119" s="26">
        <f>ROUND(VLOOKUP(A119,'Contribution Allocation_Report'!$A$9:$D$314,4,FALSE)*$C$315,0)</f>
        <v>357172</v>
      </c>
      <c r="D119" s="26">
        <f>ROUND(VLOOKUP(A119,'Contribution Allocation_Report'!$A$9:$D$314,4,FALSE)*$D$315,0)</f>
        <v>480444</v>
      </c>
      <c r="E119" s="26">
        <f>ROUND(VLOOKUP(A119,'Contribution Allocation_Report'!$A$9:$D$314,4,FALSE)*$E$315,0)</f>
        <v>631441</v>
      </c>
      <c r="J119" s="51"/>
      <c r="K119" s="168"/>
    </row>
    <row r="120" spans="1:11">
      <c r="A120" s="10">
        <v>5013</v>
      </c>
      <c r="B120" s="11" t="s">
        <v>108</v>
      </c>
      <c r="C120" s="25">
        <f>ROUND(VLOOKUP(A120,'Contribution Allocation_Report'!$A$9:$D$314,4,FALSE)*$C$315,0)</f>
        <v>313924</v>
      </c>
      <c r="D120" s="25">
        <f>ROUND(VLOOKUP(A120,'Contribution Allocation_Report'!$A$9:$D$314,4,FALSE)*$D$315,0)</f>
        <v>422270</v>
      </c>
      <c r="E120" s="25">
        <f>ROUND(VLOOKUP(A120,'Contribution Allocation_Report'!$A$9:$D$314,4,FALSE)*$E$315,0)</f>
        <v>554983</v>
      </c>
      <c r="J120" s="53"/>
      <c r="K120" s="168"/>
    </row>
    <row r="121" spans="1:11">
      <c r="A121" s="12">
        <v>3110</v>
      </c>
      <c r="B121" s="13" t="s">
        <v>109</v>
      </c>
      <c r="C121" s="26">
        <f>ROUND(VLOOKUP(A121,'Contribution Allocation_Report'!$A$9:$D$314,4,FALSE)*$C$315,0)</f>
        <v>1509800</v>
      </c>
      <c r="D121" s="26">
        <f>ROUND(VLOOKUP(A121,'Contribution Allocation_Report'!$A$9:$D$314,4,FALSE)*$D$315,0)</f>
        <v>2030884</v>
      </c>
      <c r="E121" s="26">
        <f>ROUND(VLOOKUP(A121,'Contribution Allocation_Report'!$A$9:$D$314,4,FALSE)*$E$315,0)</f>
        <v>2669161</v>
      </c>
      <c r="J121" s="51"/>
      <c r="K121" s="168"/>
    </row>
    <row r="122" spans="1:11">
      <c r="A122" s="10">
        <v>14044</v>
      </c>
      <c r="B122" s="11" t="s">
        <v>110</v>
      </c>
      <c r="C122" s="25">
        <f>ROUND(VLOOKUP(A122,'Contribution Allocation_Report'!$A$9:$D$314,4,FALSE)*$C$315,0)</f>
        <v>4862773</v>
      </c>
      <c r="D122" s="25">
        <f>ROUND(VLOOKUP(A122,'Contribution Allocation_Report'!$A$9:$D$314,4,FALSE)*$D$315,0)</f>
        <v>6541081</v>
      </c>
      <c r="E122" s="25">
        <f>ROUND(VLOOKUP(A122,'Contribution Allocation_Report'!$A$9:$D$314,4,FALSE)*$E$315,0)</f>
        <v>8596848</v>
      </c>
      <c r="J122" s="53"/>
      <c r="K122" s="168"/>
    </row>
    <row r="123" spans="1:11">
      <c r="A123" s="12">
        <v>4009</v>
      </c>
      <c r="B123" s="13" t="s">
        <v>111</v>
      </c>
      <c r="C123" s="26">
        <f>ROUND(VLOOKUP(A123,'Contribution Allocation_Report'!$A$9:$D$314,4,FALSE)*$C$315,0)</f>
        <v>720446</v>
      </c>
      <c r="D123" s="26">
        <f>ROUND(VLOOKUP(A123,'Contribution Allocation_Report'!$A$9:$D$314,4,FALSE)*$D$315,0)</f>
        <v>969096</v>
      </c>
      <c r="E123" s="26">
        <f>ROUND(VLOOKUP(A123,'Contribution Allocation_Report'!$A$9:$D$314,4,FALSE)*$E$315,0)</f>
        <v>1273669</v>
      </c>
      <c r="J123" s="51"/>
      <c r="K123" s="168"/>
    </row>
    <row r="124" spans="1:11">
      <c r="A124" s="10">
        <v>7022</v>
      </c>
      <c r="B124" s="11" t="s">
        <v>112</v>
      </c>
      <c r="C124" s="25">
        <f>ROUND(VLOOKUP(A124,'Contribution Allocation_Report'!$A$9:$D$314,4,FALSE)*$C$315,0)</f>
        <v>2127255</v>
      </c>
      <c r="D124" s="25">
        <f>ROUND(VLOOKUP(A124,'Contribution Allocation_Report'!$A$9:$D$314,4,FALSE)*$D$315,0)</f>
        <v>2861442</v>
      </c>
      <c r="E124" s="25">
        <f>ROUND(VLOOKUP(A124,'Contribution Allocation_Report'!$A$9:$D$314,4,FALSE)*$E$315,0)</f>
        <v>3760752</v>
      </c>
      <c r="J124" s="53"/>
      <c r="K124" s="168"/>
    </row>
    <row r="125" spans="1:11">
      <c r="A125" s="12">
        <v>2430</v>
      </c>
      <c r="B125" s="13" t="s">
        <v>113</v>
      </c>
      <c r="C125" s="26">
        <f>ROUND(VLOOKUP(A125,'Contribution Allocation_Report'!$A$9:$D$314,4,FALSE)*$C$315,0)</f>
        <v>252244</v>
      </c>
      <c r="D125" s="26">
        <f>ROUND(VLOOKUP(A125,'Contribution Allocation_Report'!$A$9:$D$314,4,FALSE)*$D$315,0)</f>
        <v>339301</v>
      </c>
      <c r="E125" s="26">
        <f>ROUND(VLOOKUP(A125,'Contribution Allocation_Report'!$A$9:$D$314,4,FALSE)*$E$315,0)</f>
        <v>445939</v>
      </c>
      <c r="J125" s="51"/>
      <c r="K125" s="168"/>
    </row>
    <row r="126" spans="1:11">
      <c r="A126" s="10">
        <v>9150</v>
      </c>
      <c r="B126" s="11" t="s">
        <v>114</v>
      </c>
      <c r="C126" s="25">
        <f>ROUND(VLOOKUP(A126,'Contribution Allocation_Report'!$A$9:$D$314,4,FALSE)*$C$315,0)</f>
        <v>125930</v>
      </c>
      <c r="D126" s="25">
        <f>ROUND(VLOOKUP(A126,'Contribution Allocation_Report'!$A$9:$D$314,4,FALSE)*$D$315,0)</f>
        <v>169392</v>
      </c>
      <c r="E126" s="25">
        <f>ROUND(VLOOKUP(A126,'Contribution Allocation_Report'!$A$9:$D$314,4,FALSE)*$E$315,0)</f>
        <v>222630</v>
      </c>
      <c r="J126" s="53"/>
      <c r="K126" s="168"/>
    </row>
    <row r="127" spans="1:11">
      <c r="A127" s="12">
        <v>6017</v>
      </c>
      <c r="B127" s="13" t="s">
        <v>115</v>
      </c>
      <c r="C127" s="26">
        <f>ROUND(VLOOKUP(A127,'Contribution Allocation_Report'!$A$9:$D$314,4,FALSE)*$C$315,0)</f>
        <v>14381824</v>
      </c>
      <c r="D127" s="26">
        <f>ROUND(VLOOKUP(A127,'Contribution Allocation_Report'!$A$9:$D$314,4,FALSE)*$D$315,0)</f>
        <v>19345479</v>
      </c>
      <c r="E127" s="26">
        <f>ROUND(VLOOKUP(A127,'Contribution Allocation_Report'!$A$9:$D$314,4,FALSE)*$E$315,0)</f>
        <v>25425482</v>
      </c>
      <c r="J127" s="51"/>
      <c r="K127" s="168"/>
    </row>
    <row r="128" spans="1:11">
      <c r="A128" s="10">
        <v>26080</v>
      </c>
      <c r="B128" s="11" t="s">
        <v>116</v>
      </c>
      <c r="C128" s="25">
        <f>ROUND(VLOOKUP(A128,'Contribution Allocation_Report'!$A$9:$D$314,4,FALSE)*$C$315,0)</f>
        <v>318396</v>
      </c>
      <c r="D128" s="25">
        <f>ROUND(VLOOKUP(A128,'Contribution Allocation_Report'!$A$9:$D$314,4,FALSE)*$D$315,0)</f>
        <v>428285</v>
      </c>
      <c r="E128" s="25">
        <f>ROUND(VLOOKUP(A128,'Contribution Allocation_Report'!$A$9:$D$314,4,FALSE)*$E$315,0)</f>
        <v>562889</v>
      </c>
      <c r="J128" s="53"/>
      <c r="K128" s="168"/>
    </row>
    <row r="129" spans="1:11">
      <c r="A129" s="12">
        <v>2327</v>
      </c>
      <c r="B129" s="13" t="s">
        <v>117</v>
      </c>
      <c r="C129" s="26">
        <f>ROUND(VLOOKUP(A129,'Contribution Allocation_Report'!$A$9:$D$314,4,FALSE)*$C$315,0)</f>
        <v>523278</v>
      </c>
      <c r="D129" s="26">
        <f>ROUND(VLOOKUP(A129,'Contribution Allocation_Report'!$A$9:$D$314,4,FALSE)*$D$315,0)</f>
        <v>703879</v>
      </c>
      <c r="E129" s="26">
        <f>ROUND(VLOOKUP(A129,'Contribution Allocation_Report'!$A$9:$D$314,4,FALSE)*$E$315,0)</f>
        <v>925098</v>
      </c>
      <c r="J129" s="51"/>
      <c r="K129" s="168"/>
    </row>
    <row r="130" spans="1:11">
      <c r="A130" s="10">
        <v>10119</v>
      </c>
      <c r="B130" s="11" t="s">
        <v>118</v>
      </c>
      <c r="C130" s="25">
        <f>ROUND(VLOOKUP(A130,'Contribution Allocation_Report'!$A$9:$D$314,4,FALSE)*$C$315,0)</f>
        <v>260308</v>
      </c>
      <c r="D130" s="25">
        <f>ROUND(VLOOKUP(A130,'Contribution Allocation_Report'!$A$9:$D$314,4,FALSE)*$D$315,0)</f>
        <v>350149</v>
      </c>
      <c r="E130" s="25">
        <f>ROUND(VLOOKUP(A130,'Contribution Allocation_Report'!$A$9:$D$314,4,FALSE)*$E$315,0)</f>
        <v>460195</v>
      </c>
      <c r="J130" s="53"/>
      <c r="K130" s="168"/>
    </row>
    <row r="131" spans="1:11">
      <c r="A131" s="12">
        <v>13436</v>
      </c>
      <c r="B131" s="13" t="s">
        <v>394</v>
      </c>
      <c r="C131" s="26">
        <f>ROUND(VLOOKUP(A131,'Contribution Allocation_Report'!$A$9:$D$314,4,FALSE)*$C$315,0)</f>
        <v>1340896</v>
      </c>
      <c r="D131" s="26">
        <f>ROUND(VLOOKUP(A131,'Contribution Allocation_Report'!$A$9:$D$314,4,FALSE)*$D$315,0)</f>
        <v>1803684</v>
      </c>
      <c r="E131" s="26">
        <f>ROUND(VLOOKUP(A131,'Contribution Allocation_Report'!$A$9:$D$314,4,FALSE)*$E$315,0)</f>
        <v>2370556</v>
      </c>
      <c r="J131" s="51"/>
      <c r="K131" s="168"/>
    </row>
    <row r="132" spans="1:11">
      <c r="A132" s="10">
        <v>2368</v>
      </c>
      <c r="B132" s="11" t="s">
        <v>119</v>
      </c>
      <c r="C132" s="25">
        <f>ROUND(VLOOKUP(A132,'Contribution Allocation_Report'!$A$9:$D$314,4,FALSE)*$C$315,0)</f>
        <v>556567</v>
      </c>
      <c r="D132" s="25">
        <f>ROUND(VLOOKUP(A132,'Contribution Allocation_Report'!$A$9:$D$314,4,FALSE)*$D$315,0)</f>
        <v>748658</v>
      </c>
      <c r="E132" s="25">
        <f>ROUND(VLOOKUP(A132,'Contribution Allocation_Report'!$A$9:$D$314,4,FALSE)*$E$315,0)</f>
        <v>983950</v>
      </c>
      <c r="J132" s="53"/>
      <c r="K132" s="168"/>
    </row>
    <row r="133" spans="1:11">
      <c r="A133" s="12">
        <v>7420</v>
      </c>
      <c r="B133" s="13" t="s">
        <v>120</v>
      </c>
      <c r="C133" s="26">
        <f>ROUND(VLOOKUP(A133,'Contribution Allocation_Report'!$A$9:$D$314,4,FALSE)*$C$315,0)</f>
        <v>327569</v>
      </c>
      <c r="D133" s="26">
        <f>ROUND(VLOOKUP(A133,'Contribution Allocation_Report'!$A$9:$D$314,4,FALSE)*$D$315,0)</f>
        <v>440625</v>
      </c>
      <c r="E133" s="26">
        <f>ROUND(VLOOKUP(A133,'Contribution Allocation_Report'!$A$9:$D$314,4,FALSE)*$E$315,0)</f>
        <v>579106</v>
      </c>
      <c r="J133" s="51"/>
      <c r="K133" s="168"/>
    </row>
    <row r="134" spans="1:11">
      <c r="A134" s="10">
        <v>6018</v>
      </c>
      <c r="B134" s="11" t="s">
        <v>121</v>
      </c>
      <c r="C134" s="25">
        <f>ROUND(VLOOKUP(A134,'Contribution Allocation_Report'!$A$9:$D$314,4,FALSE)*$C$315,0)</f>
        <v>1251020</v>
      </c>
      <c r="D134" s="25">
        <f>ROUND(VLOOKUP(A134,'Contribution Allocation_Report'!$A$9:$D$314,4,FALSE)*$D$315,0)</f>
        <v>1682789</v>
      </c>
      <c r="E134" s="25">
        <f>ROUND(VLOOKUP(A134,'Contribution Allocation_Report'!$A$9:$D$314,4,FALSE)*$E$315,0)</f>
        <v>2211666</v>
      </c>
      <c r="J134" s="53"/>
      <c r="K134" s="168"/>
    </row>
    <row r="135" spans="1:11">
      <c r="A135" s="12">
        <v>3321</v>
      </c>
      <c r="B135" s="13" t="s">
        <v>122</v>
      </c>
      <c r="C135" s="26">
        <f>ROUND(VLOOKUP(A135,'Contribution Allocation_Report'!$A$9:$D$314,4,FALSE)*$C$315,0)</f>
        <v>288699</v>
      </c>
      <c r="D135" s="26">
        <f>ROUND(VLOOKUP(A135,'Contribution Allocation_Report'!$A$9:$D$314,4,FALSE)*$D$315,0)</f>
        <v>388339</v>
      </c>
      <c r="E135" s="26">
        <f>ROUND(VLOOKUP(A135,'Contribution Allocation_Report'!$A$9:$D$314,4,FALSE)*$E$315,0)</f>
        <v>510388</v>
      </c>
      <c r="J135" s="51"/>
      <c r="K135" s="168"/>
    </row>
    <row r="136" spans="1:11">
      <c r="A136" s="10">
        <v>29122</v>
      </c>
      <c r="B136" s="11" t="s">
        <v>123</v>
      </c>
      <c r="C136" s="25">
        <f>ROUND(VLOOKUP(A136,'Contribution Allocation_Report'!$A$9:$D$314,4,FALSE)*$C$315,0)</f>
        <v>505579</v>
      </c>
      <c r="D136" s="25">
        <f>ROUND(VLOOKUP(A136,'Contribution Allocation_Report'!$A$9:$D$314,4,FALSE)*$D$315,0)</f>
        <v>680072</v>
      </c>
      <c r="E136" s="25">
        <f>ROUND(VLOOKUP(A136,'Contribution Allocation_Report'!$A$9:$D$314,4,FALSE)*$E$315,0)</f>
        <v>893809</v>
      </c>
      <c r="J136" s="53"/>
      <c r="K136" s="168"/>
    </row>
    <row r="137" spans="1:11">
      <c r="A137" s="12">
        <v>29088</v>
      </c>
      <c r="B137" s="13" t="s">
        <v>124</v>
      </c>
      <c r="C137" s="26">
        <f>ROUND(VLOOKUP(A137,'Contribution Allocation_Report'!$A$9:$D$314,4,FALSE)*$C$315,0)</f>
        <v>652809</v>
      </c>
      <c r="D137" s="26">
        <f>ROUND(VLOOKUP(A137,'Contribution Allocation_Report'!$A$9:$D$314,4,FALSE)*$D$315,0)</f>
        <v>878115</v>
      </c>
      <c r="E137" s="26">
        <f>ROUND(VLOOKUP(A137,'Contribution Allocation_Report'!$A$9:$D$314,4,FALSE)*$E$315,0)</f>
        <v>1154094</v>
      </c>
      <c r="J137" s="51"/>
      <c r="K137" s="168"/>
    </row>
    <row r="138" spans="1:11">
      <c r="A138" s="10">
        <v>7337</v>
      </c>
      <c r="B138" s="11" t="s">
        <v>125</v>
      </c>
      <c r="C138" s="25">
        <f>ROUND(VLOOKUP(A138,'Contribution Allocation_Report'!$A$9:$D$314,4,FALSE)*$C$315,0)</f>
        <v>132228</v>
      </c>
      <c r="D138" s="25">
        <f>ROUND(VLOOKUP(A138,'Contribution Allocation_Report'!$A$9:$D$314,4,FALSE)*$D$315,0)</f>
        <v>177864</v>
      </c>
      <c r="E138" s="25">
        <f>ROUND(VLOOKUP(A138,'Contribution Allocation_Report'!$A$9:$D$314,4,FALSE)*$E$315,0)</f>
        <v>233764</v>
      </c>
      <c r="J138" s="53"/>
      <c r="K138" s="168"/>
    </row>
    <row r="139" spans="1:11">
      <c r="A139" s="12">
        <v>2329</v>
      </c>
      <c r="B139" s="13" t="s">
        <v>126</v>
      </c>
      <c r="C139" s="26">
        <f>ROUND(VLOOKUP(A139,'Contribution Allocation_Report'!$A$9:$D$314,4,FALSE)*$C$315,0)</f>
        <v>339661</v>
      </c>
      <c r="D139" s="26">
        <f>ROUND(VLOOKUP(A139,'Contribution Allocation_Report'!$A$9:$D$314,4,FALSE)*$D$315,0)</f>
        <v>456890</v>
      </c>
      <c r="E139" s="26">
        <f>ROUND(VLOOKUP(A139,'Contribution Allocation_Report'!$A$9:$D$314,4,FALSE)*$E$315,0)</f>
        <v>600484</v>
      </c>
      <c r="J139" s="53"/>
      <c r="K139" s="168"/>
    </row>
    <row r="140" spans="1:11">
      <c r="A140" s="10">
        <v>4010</v>
      </c>
      <c r="B140" s="11" t="s">
        <v>129</v>
      </c>
      <c r="C140" s="25">
        <f>ROUND(VLOOKUP(A140,'Contribution Allocation_Report'!$A$9:$D$314,4,FALSE)*$C$315,0)</f>
        <v>339303</v>
      </c>
      <c r="D140" s="25">
        <f>ROUND(VLOOKUP(A140,'Contribution Allocation_Report'!$A$9:$D$314,4,FALSE)*$D$315,0)</f>
        <v>456408</v>
      </c>
      <c r="E140" s="25">
        <f>ROUND(VLOOKUP(A140,'Contribution Allocation_Report'!$A$9:$D$314,4,FALSE)*$E$315,0)</f>
        <v>599850</v>
      </c>
      <c r="J140" s="51"/>
      <c r="K140" s="168"/>
    </row>
    <row r="141" spans="1:11">
      <c r="A141" s="12">
        <v>7023</v>
      </c>
      <c r="B141" s="13" t="s">
        <v>130</v>
      </c>
      <c r="C141" s="26">
        <f>ROUND(VLOOKUP(A141,'Contribution Allocation_Report'!$A$9:$D$314,4,FALSE)*$C$315,0)</f>
        <v>37515310</v>
      </c>
      <c r="D141" s="26">
        <f>ROUND(VLOOKUP(A141,'Contribution Allocation_Report'!$A$9:$D$314,4,FALSE)*$D$315,0)</f>
        <v>50463115</v>
      </c>
      <c r="E141" s="26">
        <f>ROUND(VLOOKUP(A141,'Contribution Allocation_Report'!$A$9:$D$314,4,FALSE)*$E$315,0)</f>
        <v>66322939</v>
      </c>
      <c r="J141" s="53"/>
      <c r="K141" s="168"/>
    </row>
    <row r="142" spans="1:11">
      <c r="A142" s="10">
        <v>7338</v>
      </c>
      <c r="B142" s="11" t="s">
        <v>131</v>
      </c>
      <c r="C142" s="25">
        <f>ROUND(VLOOKUP(A142,'Contribution Allocation_Report'!$A$9:$D$314,4,FALSE)*$C$315,0)</f>
        <v>283323</v>
      </c>
      <c r="D142" s="25">
        <f>ROUND(VLOOKUP(A142,'Contribution Allocation_Report'!$A$9:$D$314,4,FALSE)*$D$315,0)</f>
        <v>381107</v>
      </c>
      <c r="E142" s="25">
        <f>ROUND(VLOOKUP(A142,'Contribution Allocation_Report'!$A$9:$D$314,4,FALSE)*$E$315,0)</f>
        <v>500883</v>
      </c>
      <c r="J142" s="51"/>
      <c r="K142" s="168"/>
    </row>
    <row r="143" spans="1:11">
      <c r="A143" s="12">
        <v>12037</v>
      </c>
      <c r="B143" s="13" t="s">
        <v>132</v>
      </c>
      <c r="C143" s="26">
        <f>ROUND(VLOOKUP(A143,'Contribution Allocation_Report'!$A$9:$D$314,4,FALSE)*$C$315,0)</f>
        <v>2015405</v>
      </c>
      <c r="D143" s="26">
        <f>ROUND(VLOOKUP(A143,'Contribution Allocation_Report'!$A$9:$D$314,4,FALSE)*$D$315,0)</f>
        <v>2710990</v>
      </c>
      <c r="E143" s="26">
        <f>ROUND(VLOOKUP(A143,'Contribution Allocation_Report'!$A$9:$D$314,4,FALSE)*$E$315,0)</f>
        <v>3563015</v>
      </c>
      <c r="J143" s="53"/>
      <c r="K143" s="168"/>
    </row>
    <row r="144" spans="1:11">
      <c r="A144" s="10">
        <v>3150</v>
      </c>
      <c r="B144" s="11" t="s">
        <v>133</v>
      </c>
      <c r="C144" s="25">
        <f>ROUND(VLOOKUP(A144,'Contribution Allocation_Report'!$A$9:$D$314,4,FALSE)*$C$315,0)</f>
        <v>5037182</v>
      </c>
      <c r="D144" s="25">
        <f>ROUND(VLOOKUP(A144,'Contribution Allocation_Report'!$A$9:$D$314,4,FALSE)*$D$315,0)</f>
        <v>6775684</v>
      </c>
      <c r="E144" s="25">
        <f>ROUND(VLOOKUP(A144,'Contribution Allocation_Report'!$A$9:$D$314,4,FALSE)*$E$315,0)</f>
        <v>8905183</v>
      </c>
      <c r="J144" s="51"/>
      <c r="K144" s="168"/>
    </row>
    <row r="145" spans="1:11">
      <c r="A145" s="12">
        <v>3160</v>
      </c>
      <c r="B145" s="13" t="s">
        <v>134</v>
      </c>
      <c r="C145" s="26">
        <f>ROUND(VLOOKUP(A145,'Contribution Allocation_Report'!$A$9:$D$314,4,FALSE)*$C$315,0)</f>
        <v>1009401</v>
      </c>
      <c r="D145" s="26">
        <f>ROUND(VLOOKUP(A145,'Contribution Allocation_Report'!$A$9:$D$314,4,FALSE)*$D$315,0)</f>
        <v>1357779</v>
      </c>
      <c r="E145" s="26">
        <f>ROUND(VLOOKUP(A145,'Contribution Allocation_Report'!$A$9:$D$314,4,FALSE)*$E$315,0)</f>
        <v>1784510</v>
      </c>
      <c r="J145" s="53"/>
      <c r="K145" s="168"/>
    </row>
    <row r="146" spans="1:11">
      <c r="A146" s="10">
        <v>10120</v>
      </c>
      <c r="B146" s="11" t="s">
        <v>135</v>
      </c>
      <c r="C146" s="25">
        <f>ROUND(VLOOKUP(A146,'Contribution Allocation_Report'!$A$9:$D$314,4,FALSE)*$C$315,0)</f>
        <v>520598</v>
      </c>
      <c r="D146" s="25">
        <f>ROUND(VLOOKUP(A146,'Contribution Allocation_Report'!$A$9:$D$314,4,FALSE)*$D$315,0)</f>
        <v>700275</v>
      </c>
      <c r="E146" s="25">
        <f>ROUND(VLOOKUP(A146,'Contribution Allocation_Report'!$A$9:$D$314,4,FALSE)*$E$315,0)</f>
        <v>920361</v>
      </c>
      <c r="J146" s="51"/>
      <c r="K146" s="168"/>
    </row>
    <row r="147" spans="1:11">
      <c r="A147" s="12">
        <v>23070</v>
      </c>
      <c r="B147" s="13" t="s">
        <v>136</v>
      </c>
      <c r="C147" s="26">
        <f>ROUND(VLOOKUP(A147,'Contribution Allocation_Report'!$A$9:$D$314,4,FALSE)*$C$315,0)</f>
        <v>809818</v>
      </c>
      <c r="D147" s="26">
        <f>ROUND(VLOOKUP(A147,'Contribution Allocation_Report'!$A$9:$D$314,4,FALSE)*$D$315,0)</f>
        <v>1089313</v>
      </c>
      <c r="E147" s="26">
        <f>ROUND(VLOOKUP(A147,'Contribution Allocation_Report'!$A$9:$D$314,4,FALSE)*$E$315,0)</f>
        <v>1431669</v>
      </c>
      <c r="J147" s="53"/>
      <c r="K147" s="168"/>
    </row>
    <row r="148" spans="1:11">
      <c r="A148" s="10">
        <v>3170</v>
      </c>
      <c r="B148" s="11" t="s">
        <v>137</v>
      </c>
      <c r="C148" s="25">
        <f>ROUND(VLOOKUP(A148,'Contribution Allocation_Report'!$A$9:$D$314,4,FALSE)*$C$315,0)</f>
        <v>11602247</v>
      </c>
      <c r="D148" s="25">
        <f>ROUND(VLOOKUP(A148,'Contribution Allocation_Report'!$A$9:$D$314,4,FALSE)*$D$315,0)</f>
        <v>15606575</v>
      </c>
      <c r="E148" s="25">
        <f>ROUND(VLOOKUP(A148,'Contribution Allocation_Report'!$A$9:$D$314,4,FALSE)*$E$315,0)</f>
        <v>20511496</v>
      </c>
      <c r="J148" s="51"/>
      <c r="K148" s="168"/>
    </row>
    <row r="149" spans="1:11">
      <c r="A149" s="12">
        <v>32093</v>
      </c>
      <c r="B149" s="43" t="s">
        <v>138</v>
      </c>
      <c r="C149" s="67">
        <f>ROUND(VLOOKUP(A149,'Contribution Allocation_Report'!$A$9:$D$314,4,FALSE)*$C$315,0)</f>
        <v>6807051</v>
      </c>
      <c r="D149" s="67">
        <f>ROUND(VLOOKUP(A149,'Contribution Allocation_Report'!$A$9:$D$314,4,FALSE)*$D$315,0)</f>
        <v>9156395</v>
      </c>
      <c r="E149" s="67">
        <f>ROUND(VLOOKUP(A149,'Contribution Allocation_Report'!$A$9:$D$314,4,FALSE)*$E$315,0)</f>
        <v>12034117</v>
      </c>
      <c r="J149" s="53"/>
      <c r="K149" s="168"/>
    </row>
    <row r="150" spans="1:11">
      <c r="A150" s="10">
        <v>14045</v>
      </c>
      <c r="B150" s="11" t="s">
        <v>139</v>
      </c>
      <c r="C150" s="25">
        <f>ROUND(VLOOKUP(A150,'Contribution Allocation_Report'!$A$9:$D$314,4,FALSE)*$C$315,0)</f>
        <v>13036500</v>
      </c>
      <c r="D150" s="25">
        <f>ROUND(VLOOKUP(A150,'Contribution Allocation_Report'!$A$9:$D$314,4,FALSE)*$D$315,0)</f>
        <v>17535837</v>
      </c>
      <c r="E150" s="25">
        <f>ROUND(VLOOKUP(A150,'Contribution Allocation_Report'!$A$9:$D$314,4,FALSE)*$E$315,0)</f>
        <v>23047096</v>
      </c>
      <c r="J150" s="51"/>
      <c r="K150" s="168"/>
    </row>
    <row r="151" spans="1:11">
      <c r="A151" s="12">
        <v>2322</v>
      </c>
      <c r="B151" s="13" t="s">
        <v>140</v>
      </c>
      <c r="C151" s="26">
        <f>ROUND(VLOOKUP(A151,'Contribution Allocation_Report'!$A$9:$D$314,4,FALSE)*$C$315,0)</f>
        <v>220362</v>
      </c>
      <c r="D151" s="26">
        <f>ROUND(VLOOKUP(A151,'Contribution Allocation_Report'!$A$9:$D$314,4,FALSE)*$D$315,0)</f>
        <v>296417</v>
      </c>
      <c r="E151" s="26">
        <f>ROUND(VLOOKUP(A151,'Contribution Allocation_Report'!$A$9:$D$314,4,FALSE)*$E$315,0)</f>
        <v>389576</v>
      </c>
      <c r="J151" s="53"/>
      <c r="K151" s="168"/>
    </row>
    <row r="152" spans="1:11">
      <c r="A152" s="10">
        <v>3006</v>
      </c>
      <c r="B152" s="11" t="s">
        <v>141</v>
      </c>
      <c r="C152" s="25">
        <f>ROUND(VLOOKUP(A152,'Contribution Allocation_Report'!$A$9:$D$314,4,FALSE)*$C$315,0)</f>
        <v>1120158</v>
      </c>
      <c r="D152" s="25">
        <f>ROUND(VLOOKUP(A152,'Contribution Allocation_Report'!$A$9:$D$314,4,FALSE)*$D$315,0)</f>
        <v>1506762</v>
      </c>
      <c r="E152" s="25">
        <f>ROUND(VLOOKUP(A152,'Contribution Allocation_Report'!$A$9:$D$314,4,FALSE)*$E$315,0)</f>
        <v>1980316</v>
      </c>
      <c r="J152" s="51"/>
      <c r="K152" s="168"/>
    </row>
    <row r="153" spans="1:11">
      <c r="A153" s="12">
        <v>6019</v>
      </c>
      <c r="B153" s="13" t="s">
        <v>142</v>
      </c>
      <c r="C153" s="26">
        <f>ROUND(VLOOKUP(A153,'Contribution Allocation_Report'!$A$9:$D$314,4,FALSE)*$C$315,0)</f>
        <v>5651351</v>
      </c>
      <c r="D153" s="26">
        <f>ROUND(VLOOKUP(A153,'Contribution Allocation_Report'!$A$9:$D$314,4,FALSE)*$D$315,0)</f>
        <v>7601824</v>
      </c>
      <c r="E153" s="26">
        <f>ROUND(VLOOKUP(A153,'Contribution Allocation_Report'!$A$9:$D$314,4,FALSE)*$E$315,0)</f>
        <v>9990966</v>
      </c>
      <c r="J153" s="53"/>
      <c r="K153" s="168"/>
    </row>
    <row r="154" spans="1:11">
      <c r="A154" s="10">
        <v>12128</v>
      </c>
      <c r="B154" s="11" t="s">
        <v>143</v>
      </c>
      <c r="C154" s="25">
        <f>ROUND(VLOOKUP(A154,'Contribution Allocation_Report'!$A$9:$D$314,4,FALSE)*$C$315,0)</f>
        <v>1124271</v>
      </c>
      <c r="D154" s="25">
        <f>ROUND(VLOOKUP(A154,'Contribution Allocation_Report'!$A$9:$D$314,4,FALSE)*$D$315,0)</f>
        <v>1512295</v>
      </c>
      <c r="E154" s="25">
        <f>ROUND(VLOOKUP(A154,'Contribution Allocation_Report'!$A$9:$D$314,4,FALSE)*$E$315,0)</f>
        <v>1987588</v>
      </c>
      <c r="J154" s="51"/>
      <c r="K154" s="168"/>
    </row>
    <row r="155" spans="1:11">
      <c r="A155" s="12">
        <v>3180</v>
      </c>
      <c r="B155" s="13" t="s">
        <v>144</v>
      </c>
      <c r="C155" s="26">
        <f>ROUND(VLOOKUP(A155,'Contribution Allocation_Report'!$A$9:$D$314,4,FALSE)*$C$315,0)</f>
        <v>1987151</v>
      </c>
      <c r="D155" s="26">
        <f>ROUND(VLOOKUP(A155,'Contribution Allocation_Report'!$A$9:$D$314,4,FALSE)*$D$315,0)</f>
        <v>2672984</v>
      </c>
      <c r="E155" s="26">
        <f>ROUND(VLOOKUP(A155,'Contribution Allocation_Report'!$A$9:$D$314,4,FALSE)*$E$315,0)</f>
        <v>3513064</v>
      </c>
      <c r="J155" s="53"/>
      <c r="K155" s="168"/>
    </row>
    <row r="156" spans="1:11">
      <c r="A156" s="10">
        <v>25075</v>
      </c>
      <c r="B156" s="11" t="s">
        <v>145</v>
      </c>
      <c r="C156" s="25">
        <f>ROUND(VLOOKUP(A156,'Contribution Allocation_Report'!$A$9:$D$314,4,FALSE)*$C$315,0)</f>
        <v>759965</v>
      </c>
      <c r="D156" s="25">
        <f>ROUND(VLOOKUP(A156,'Contribution Allocation_Report'!$A$9:$D$314,4,FALSE)*$D$315,0)</f>
        <v>1022254</v>
      </c>
      <c r="E156" s="25">
        <f>ROUND(VLOOKUP(A156,'Contribution Allocation_Report'!$A$9:$D$314,4,FALSE)*$E$315,0)</f>
        <v>1343534</v>
      </c>
      <c r="J156" s="51"/>
      <c r="K156" s="168"/>
    </row>
    <row r="157" spans="1:11">
      <c r="A157" s="12">
        <v>2311</v>
      </c>
      <c r="B157" s="23" t="s">
        <v>411</v>
      </c>
      <c r="C157" s="26">
        <f>ROUND(VLOOKUP(A157,'Contribution Allocation_Report'!$A$9:$D$314,4,FALSE)*$C$315,0)</f>
        <v>374905</v>
      </c>
      <c r="D157" s="26">
        <f>ROUND(VLOOKUP(A157,'Contribution Allocation_Report'!$A$9:$D$314,4,FALSE)*$D$315,0)</f>
        <v>504297</v>
      </c>
      <c r="E157" s="26">
        <f>ROUND(VLOOKUP(A157,'Contribution Allocation_Report'!$A$9:$D$314,4,FALSE)*$E$315,0)</f>
        <v>662791</v>
      </c>
      <c r="J157" s="53"/>
      <c r="K157" s="168"/>
    </row>
    <row r="158" spans="1:11">
      <c r="A158" s="10">
        <v>9028</v>
      </c>
      <c r="B158" s="11" t="s">
        <v>146</v>
      </c>
      <c r="C158" s="25">
        <f>ROUND(VLOOKUP(A158,'Contribution Allocation_Report'!$A$9:$D$314,4,FALSE)*$C$315,0)</f>
        <v>306270</v>
      </c>
      <c r="D158" s="25">
        <f>ROUND(VLOOKUP(A158,'Contribution Allocation_Report'!$A$9:$D$314,4,FALSE)*$D$315,0)</f>
        <v>411973</v>
      </c>
      <c r="E158" s="25">
        <f>ROUND(VLOOKUP(A158,'Contribution Allocation_Report'!$A$9:$D$314,4,FALSE)*$E$315,0)</f>
        <v>541451</v>
      </c>
      <c r="J158" s="51"/>
      <c r="K158" s="168"/>
    </row>
    <row r="159" spans="1:11">
      <c r="A159" s="12">
        <v>17424</v>
      </c>
      <c r="B159" s="13" t="s">
        <v>147</v>
      </c>
      <c r="C159" s="26">
        <f>ROUND(VLOOKUP(A159,'Contribution Allocation_Report'!$A$9:$D$314,4,FALSE)*$C$315,0)</f>
        <v>625578</v>
      </c>
      <c r="D159" s="26">
        <f>ROUND(VLOOKUP(A159,'Contribution Allocation_Report'!$A$9:$D$314,4,FALSE)*$D$315,0)</f>
        <v>841487</v>
      </c>
      <c r="E159" s="26">
        <f>ROUND(VLOOKUP(A159,'Contribution Allocation_Report'!$A$9:$D$314,4,FALSE)*$E$315,0)</f>
        <v>1105954</v>
      </c>
      <c r="J159" s="53"/>
      <c r="K159" s="168"/>
    </row>
    <row r="160" spans="1:11">
      <c r="A160" s="10">
        <v>3200</v>
      </c>
      <c r="B160" s="11" t="s">
        <v>148</v>
      </c>
      <c r="C160" s="25">
        <f>ROUND(VLOOKUP(A160,'Contribution Allocation_Report'!$A$9:$D$314,4,FALSE)*$C$315,0)</f>
        <v>2175691</v>
      </c>
      <c r="D160" s="25">
        <f>ROUND(VLOOKUP(A160,'Contribution Allocation_Report'!$A$9:$D$314,4,FALSE)*$D$315,0)</f>
        <v>2926596</v>
      </c>
      <c r="E160" s="25">
        <f>ROUND(VLOOKUP(A160,'Contribution Allocation_Report'!$A$9:$D$314,4,FALSE)*$E$315,0)</f>
        <v>3846383</v>
      </c>
      <c r="J160" s="51"/>
      <c r="K160" s="168"/>
    </row>
    <row r="161" spans="1:11">
      <c r="A161" s="12">
        <v>2365</v>
      </c>
      <c r="B161" s="13" t="s">
        <v>149</v>
      </c>
      <c r="C161" s="26">
        <f>ROUND(VLOOKUP(A161,'Contribution Allocation_Report'!$A$9:$D$314,4,FALSE)*$C$315,0)</f>
        <v>208116</v>
      </c>
      <c r="D161" s="26">
        <f>ROUND(VLOOKUP(A161,'Contribution Allocation_Report'!$A$9:$D$314,4,FALSE)*$D$315,0)</f>
        <v>279945</v>
      </c>
      <c r="E161" s="26">
        <f>ROUND(VLOOKUP(A161,'Contribution Allocation_Report'!$A$9:$D$314,4,FALSE)*$E$315,0)</f>
        <v>367927</v>
      </c>
      <c r="J161" s="53"/>
      <c r="K161" s="168"/>
    </row>
    <row r="162" spans="1:11">
      <c r="A162" s="10">
        <v>5014</v>
      </c>
      <c r="B162" s="11" t="s">
        <v>150</v>
      </c>
      <c r="C162" s="25">
        <f>ROUND(VLOOKUP(A162,'Contribution Allocation_Report'!$A$9:$D$314,4,FALSE)*$C$315,0)</f>
        <v>449121</v>
      </c>
      <c r="D162" s="25">
        <f>ROUND(VLOOKUP(A162,'Contribution Allocation_Report'!$A$9:$D$314,4,FALSE)*$D$315,0)</f>
        <v>604128</v>
      </c>
      <c r="E162" s="25">
        <f>ROUND(VLOOKUP(A162,'Contribution Allocation_Report'!$A$9:$D$314,4,FALSE)*$E$315,0)</f>
        <v>793997</v>
      </c>
      <c r="J162" s="51"/>
      <c r="K162" s="168"/>
    </row>
    <row r="163" spans="1:11">
      <c r="A163" s="12">
        <v>17127</v>
      </c>
      <c r="B163" s="13" t="s">
        <v>151</v>
      </c>
      <c r="C163" s="26">
        <f>ROUND(VLOOKUP(A163,'Contribution Allocation_Report'!$A$9:$D$314,4,FALSE)*$C$315,0)</f>
        <v>465105</v>
      </c>
      <c r="D163" s="26">
        <f>ROUND(VLOOKUP(A163,'Contribution Allocation_Report'!$A$9:$D$314,4,FALSE)*$D$315,0)</f>
        <v>625628</v>
      </c>
      <c r="E163" s="26">
        <f>ROUND(VLOOKUP(A163,'Contribution Allocation_Report'!$A$9:$D$314,4,FALSE)*$E$315,0)</f>
        <v>822254</v>
      </c>
      <c r="J163" s="53"/>
      <c r="K163" s="168"/>
    </row>
    <row r="164" spans="1:11">
      <c r="A164" s="10">
        <v>10141</v>
      </c>
      <c r="B164" s="11" t="s">
        <v>152</v>
      </c>
      <c r="C164" s="25">
        <f>ROUND(VLOOKUP(A164,'Contribution Allocation_Report'!$A$9:$D$314,4,FALSE)*$C$315,0)</f>
        <v>650454</v>
      </c>
      <c r="D164" s="25">
        <f>ROUND(VLOOKUP(A164,'Contribution Allocation_Report'!$A$9:$D$314,4,FALSE)*$D$315,0)</f>
        <v>874947</v>
      </c>
      <c r="E164" s="25">
        <f>ROUND(VLOOKUP(A164,'Contribution Allocation_Report'!$A$9:$D$314,4,FALSE)*$E$315,0)</f>
        <v>1149930</v>
      </c>
      <c r="J164" s="53"/>
      <c r="K164" s="168"/>
    </row>
    <row r="165" spans="1:11">
      <c r="A165" s="12">
        <v>4570</v>
      </c>
      <c r="B165" s="13" t="s">
        <v>395</v>
      </c>
      <c r="C165" s="26">
        <f>ROUND(VLOOKUP(A165,'Contribution Allocation_Report'!$A$9:$D$314,4,FALSE)*$C$315,0)</f>
        <v>1779358</v>
      </c>
      <c r="D165" s="26">
        <f>ROUND(VLOOKUP(A165,'Contribution Allocation_Report'!$A$9:$D$314,4,FALSE)*$D$315,0)</f>
        <v>2393475</v>
      </c>
      <c r="E165" s="26">
        <f>ROUND(VLOOKUP(A165,'Contribution Allocation_Report'!$A$9:$D$314,4,FALSE)*$E$315,0)</f>
        <v>3145710</v>
      </c>
      <c r="J165" s="51"/>
      <c r="K165" s="168"/>
    </row>
    <row r="166" spans="1:11">
      <c r="A166" s="10">
        <v>13369</v>
      </c>
      <c r="B166" s="11" t="s">
        <v>153</v>
      </c>
      <c r="C166" s="25">
        <f>ROUND(VLOOKUP(A166,'Contribution Allocation_Report'!$A$9:$D$314,4,FALSE)*$C$315,0)</f>
        <v>157598</v>
      </c>
      <c r="D166" s="25">
        <f>ROUND(VLOOKUP(A166,'Contribution Allocation_Report'!$A$9:$D$314,4,FALSE)*$D$315,0)</f>
        <v>211990</v>
      </c>
      <c r="E166" s="25">
        <f>ROUND(VLOOKUP(A166,'Contribution Allocation_Report'!$A$9:$D$314,4,FALSE)*$E$315,0)</f>
        <v>278616</v>
      </c>
      <c r="J166" s="51"/>
      <c r="K166" s="168"/>
    </row>
    <row r="167" spans="1:11">
      <c r="A167" s="12">
        <v>2425</v>
      </c>
      <c r="B167" s="13" t="s">
        <v>154</v>
      </c>
      <c r="C167" s="26">
        <f>ROUND(VLOOKUP(A167,'Contribution Allocation_Report'!$A$9:$D$314,4,FALSE)*$C$315,0)</f>
        <v>2852095</v>
      </c>
      <c r="D167" s="26">
        <f>ROUND(VLOOKUP(A167,'Contribution Allocation_Report'!$A$9:$D$314,4,FALSE)*$D$315,0)</f>
        <v>3836450</v>
      </c>
      <c r="E167" s="26">
        <f>ROUND(VLOOKUP(A167,'Contribution Allocation_Report'!$A$9:$D$314,4,FALSE)*$E$315,0)</f>
        <v>5042191</v>
      </c>
      <c r="J167" s="53"/>
      <c r="K167" s="168"/>
    </row>
    <row r="168" spans="1:11">
      <c r="A168" s="10">
        <v>1306</v>
      </c>
      <c r="B168" s="11" t="s">
        <v>155</v>
      </c>
      <c r="C168" s="25">
        <f>ROUND(VLOOKUP(A168,'Contribution Allocation_Report'!$A$9:$D$314,4,FALSE)*$C$315,0)</f>
        <v>558726</v>
      </c>
      <c r="D168" s="25">
        <f>ROUND(VLOOKUP(A168,'Contribution Allocation_Report'!$A$9:$D$314,4,FALSE)*$D$315,0)</f>
        <v>751562</v>
      </c>
      <c r="E168" s="25">
        <f>ROUND(VLOOKUP(A168,'Contribution Allocation_Report'!$A$9:$D$314,4,FALSE)*$E$315,0)</f>
        <v>987767</v>
      </c>
      <c r="J168" s="51"/>
      <c r="K168" s="168"/>
    </row>
    <row r="169" spans="1:11">
      <c r="A169" s="12">
        <v>2351</v>
      </c>
      <c r="B169" s="13" t="s">
        <v>156</v>
      </c>
      <c r="C169" s="26">
        <f>ROUND(VLOOKUP(A169,'Contribution Allocation_Report'!$A$9:$D$314,4,FALSE)*$C$315,0)</f>
        <v>551985</v>
      </c>
      <c r="D169" s="26">
        <f>ROUND(VLOOKUP(A169,'Contribution Allocation_Report'!$A$9:$D$314,4,FALSE)*$D$315,0)</f>
        <v>742494</v>
      </c>
      <c r="E169" s="26">
        <f>ROUND(VLOOKUP(A169,'Contribution Allocation_Report'!$A$9:$D$314,4,FALSE)*$E$315,0)</f>
        <v>975849</v>
      </c>
      <c r="J169" s="53"/>
      <c r="K169" s="168"/>
    </row>
    <row r="170" spans="1:11">
      <c r="A170" s="10">
        <v>2334</v>
      </c>
      <c r="B170" s="11" t="s">
        <v>157</v>
      </c>
      <c r="C170" s="25">
        <f>ROUND(VLOOKUP(A170,'Contribution Allocation_Report'!$A$9:$D$314,4,FALSE)*$C$315,0)</f>
        <v>363641</v>
      </c>
      <c r="D170" s="25">
        <f>ROUND(VLOOKUP(A170,'Contribution Allocation_Report'!$A$9:$D$314,4,FALSE)*$D$315,0)</f>
        <v>489145</v>
      </c>
      <c r="E170" s="25">
        <f>ROUND(VLOOKUP(A170,'Contribution Allocation_Report'!$A$9:$D$314,4,FALSE)*$E$315,0)</f>
        <v>642877</v>
      </c>
      <c r="J170" s="51"/>
      <c r="K170" s="168"/>
    </row>
    <row r="171" spans="1:11">
      <c r="A171" s="12">
        <v>30089</v>
      </c>
      <c r="B171" s="13" t="s">
        <v>158</v>
      </c>
      <c r="C171" s="26">
        <f>ROUND(VLOOKUP(A171,'Contribution Allocation_Report'!$A$9:$D$314,4,FALSE)*$C$315,0)</f>
        <v>847135</v>
      </c>
      <c r="D171" s="26">
        <f>ROUND(VLOOKUP(A171,'Contribution Allocation_Report'!$A$9:$D$314,4,FALSE)*$D$315,0)</f>
        <v>1139510</v>
      </c>
      <c r="E171" s="26">
        <f>ROUND(VLOOKUP(A171,'Contribution Allocation_Report'!$A$9:$D$314,4,FALSE)*$E$315,0)</f>
        <v>1497642</v>
      </c>
      <c r="J171" s="53"/>
      <c r="K171" s="168"/>
    </row>
    <row r="172" spans="1:11">
      <c r="A172" s="10">
        <v>9324</v>
      </c>
      <c r="B172" s="11" t="s">
        <v>159</v>
      </c>
      <c r="C172" s="25">
        <f>ROUND(VLOOKUP(A172,'Contribution Allocation_Report'!$A$9:$D$314,4,FALSE)*$C$315,0)</f>
        <v>89509</v>
      </c>
      <c r="D172" s="25">
        <f>ROUND(VLOOKUP(A172,'Contribution Allocation_Report'!$A$9:$D$314,4,FALSE)*$D$315,0)</f>
        <v>120401</v>
      </c>
      <c r="E172" s="25">
        <f>ROUND(VLOOKUP(A172,'Contribution Allocation_Report'!$A$9:$D$314,4,FALSE)*$E$315,0)</f>
        <v>158241</v>
      </c>
      <c r="J172" s="51"/>
      <c r="K172" s="168"/>
    </row>
    <row r="173" spans="1:11">
      <c r="A173" s="12">
        <v>22066</v>
      </c>
      <c r="B173" s="13" t="s">
        <v>160</v>
      </c>
      <c r="C173" s="26">
        <f>ROUND(VLOOKUP(A173,'Contribution Allocation_Report'!$A$9:$D$314,4,FALSE)*$C$315,0)</f>
        <v>3969463</v>
      </c>
      <c r="D173" s="26">
        <f>ROUND(VLOOKUP(A173,'Contribution Allocation_Report'!$A$9:$D$314,4,FALSE)*$D$315,0)</f>
        <v>5339459</v>
      </c>
      <c r="E173" s="26">
        <f>ROUND(VLOOKUP(A173,'Contribution Allocation_Report'!$A$9:$D$314,4,FALSE)*$E$315,0)</f>
        <v>7017573</v>
      </c>
      <c r="J173" s="53"/>
      <c r="K173" s="168"/>
    </row>
    <row r="174" spans="1:11">
      <c r="A174" s="10">
        <v>16356</v>
      </c>
      <c r="B174" s="11" t="s">
        <v>161</v>
      </c>
      <c r="C174" s="25">
        <f>ROUND(VLOOKUP(A174,'Contribution Allocation_Report'!$A$9:$D$314,4,FALSE)*$C$315,0)</f>
        <v>264839</v>
      </c>
      <c r="D174" s="25">
        <f>ROUND(VLOOKUP(A174,'Contribution Allocation_Report'!$A$9:$D$314,4,FALSE)*$D$315,0)</f>
        <v>356244</v>
      </c>
      <c r="E174" s="25">
        <f>ROUND(VLOOKUP(A174,'Contribution Allocation_Report'!$A$9:$D$314,4,FALSE)*$E$315,0)</f>
        <v>468206</v>
      </c>
      <c r="J174" s="51"/>
      <c r="K174" s="168"/>
    </row>
    <row r="175" spans="1:11">
      <c r="A175" s="12">
        <v>31091</v>
      </c>
      <c r="B175" s="13" t="s">
        <v>162</v>
      </c>
      <c r="C175" s="26">
        <f>ROUND(VLOOKUP(A175,'Contribution Allocation_Report'!$A$9:$D$314,4,FALSE)*$C$315,0)</f>
        <v>237685</v>
      </c>
      <c r="D175" s="26">
        <f>ROUND(VLOOKUP(A175,'Contribution Allocation_Report'!$A$9:$D$314,4,FALSE)*$D$315,0)</f>
        <v>319719</v>
      </c>
      <c r="E175" s="26">
        <f>ROUND(VLOOKUP(A175,'Contribution Allocation_Report'!$A$9:$D$314,4,FALSE)*$E$315,0)</f>
        <v>420201</v>
      </c>
      <c r="J175" s="53"/>
      <c r="K175" s="168"/>
    </row>
    <row r="176" spans="1:11">
      <c r="A176" s="10">
        <v>2342</v>
      </c>
      <c r="B176" s="11" t="s">
        <v>163</v>
      </c>
      <c r="C176" s="25">
        <f>ROUND(VLOOKUP(A176,'Contribution Allocation_Report'!$A$9:$D$314,4,FALSE)*$C$315,0)</f>
        <v>404755</v>
      </c>
      <c r="D176" s="25">
        <f>ROUND(VLOOKUP(A176,'Contribution Allocation_Report'!$A$9:$D$314,4,FALSE)*$D$315,0)</f>
        <v>544450</v>
      </c>
      <c r="E176" s="25">
        <f>ROUND(VLOOKUP(A176,'Contribution Allocation_Report'!$A$9:$D$314,4,FALSE)*$E$315,0)</f>
        <v>715563</v>
      </c>
      <c r="J176" s="51"/>
      <c r="K176" s="168"/>
    </row>
    <row r="177" spans="1:11">
      <c r="A177" s="12">
        <v>22067</v>
      </c>
      <c r="B177" s="13" t="s">
        <v>164</v>
      </c>
      <c r="C177" s="26">
        <f>ROUND(VLOOKUP(A177,'Contribution Allocation_Report'!$A$9:$D$314,4,FALSE)*$C$315,0)</f>
        <v>488495</v>
      </c>
      <c r="D177" s="26">
        <f>ROUND(VLOOKUP(A177,'Contribution Allocation_Report'!$A$9:$D$314,4,FALSE)*$D$315,0)</f>
        <v>657091</v>
      </c>
      <c r="E177" s="26">
        <f>ROUND(VLOOKUP(A177,'Contribution Allocation_Report'!$A$9:$D$314,4,FALSE)*$E$315,0)</f>
        <v>863606</v>
      </c>
      <c r="J177" s="53"/>
      <c r="K177" s="168"/>
    </row>
    <row r="178" spans="1:11">
      <c r="A178" s="10">
        <v>25616</v>
      </c>
      <c r="B178" s="11" t="s">
        <v>165</v>
      </c>
      <c r="C178" s="25">
        <f>ROUND(VLOOKUP(A178,'Contribution Allocation_Report'!$A$9:$D$314,4,FALSE)*$C$315,0)</f>
        <v>195564</v>
      </c>
      <c r="D178" s="25">
        <f>ROUND(VLOOKUP(A178,'Contribution Allocation_Report'!$A$9:$D$314,4,FALSE)*$D$315,0)</f>
        <v>263059</v>
      </c>
      <c r="E178" s="25">
        <f>ROUND(VLOOKUP(A178,'Contribution Allocation_Report'!$A$9:$D$314,4,FALSE)*$E$315,0)</f>
        <v>345735</v>
      </c>
      <c r="J178" s="51"/>
      <c r="K178" s="168"/>
    </row>
    <row r="179" spans="1:11">
      <c r="A179" s="12">
        <v>2354</v>
      </c>
      <c r="B179" s="13" t="s">
        <v>166</v>
      </c>
      <c r="C179" s="26">
        <f>ROUND(VLOOKUP(A179,'Contribution Allocation_Report'!$A$9:$D$314,4,FALSE)*$C$315,0)</f>
        <v>832176</v>
      </c>
      <c r="D179" s="26">
        <f>ROUND(VLOOKUP(A179,'Contribution Allocation_Report'!$A$9:$D$314,4,FALSE)*$D$315,0)</f>
        <v>1119388</v>
      </c>
      <c r="E179" s="26">
        <f>ROUND(VLOOKUP(A179,'Contribution Allocation_Report'!$A$9:$D$314,4,FALSE)*$E$315,0)</f>
        <v>1471195</v>
      </c>
      <c r="J179" s="53"/>
      <c r="K179" s="168"/>
    </row>
    <row r="180" spans="1:11">
      <c r="A180" s="10">
        <v>2148</v>
      </c>
      <c r="B180" s="11" t="s">
        <v>167</v>
      </c>
      <c r="C180" s="25">
        <f>ROUND(VLOOKUP(A180,'Contribution Allocation_Report'!$A$9:$D$314,4,FALSE)*$C$315,0)</f>
        <v>228606</v>
      </c>
      <c r="D180" s="25">
        <f>ROUND(VLOOKUP(A180,'Contribution Allocation_Report'!$A$9:$D$314,4,FALSE)*$D$315,0)</f>
        <v>307505</v>
      </c>
      <c r="E180" s="25">
        <f>ROUND(VLOOKUP(A180,'Contribution Allocation_Report'!$A$9:$D$314,4,FALSE)*$E$315,0)</f>
        <v>404149</v>
      </c>
      <c r="J180" s="51"/>
      <c r="K180" s="168"/>
    </row>
    <row r="181" spans="1:11">
      <c r="A181" s="12">
        <v>1418</v>
      </c>
      <c r="B181" s="13" t="s">
        <v>168</v>
      </c>
      <c r="C181" s="26">
        <f>ROUND(VLOOKUP(A181,'Contribution Allocation_Report'!$A$9:$D$314,4,FALSE)*$C$315,0)</f>
        <v>1215529</v>
      </c>
      <c r="D181" s="26">
        <f>ROUND(VLOOKUP(A181,'Contribution Allocation_Report'!$A$9:$D$314,4,FALSE)*$D$315,0)</f>
        <v>1635049</v>
      </c>
      <c r="E181" s="26">
        <f>ROUND(VLOOKUP(A181,'Contribution Allocation_Report'!$A$9:$D$314,4,FALSE)*$E$315,0)</f>
        <v>2148921</v>
      </c>
      <c r="J181" s="53"/>
      <c r="K181" s="168"/>
    </row>
    <row r="182" spans="1:11">
      <c r="A182" s="10">
        <v>12102</v>
      </c>
      <c r="B182" s="11" t="s">
        <v>169</v>
      </c>
      <c r="C182" s="25">
        <f>ROUND(VLOOKUP(A182,'Contribution Allocation_Report'!$A$9:$D$314,4,FALSE)*$C$315,0)</f>
        <v>6115304</v>
      </c>
      <c r="D182" s="25">
        <f>ROUND(VLOOKUP(A182,'Contribution Allocation_Report'!$A$9:$D$314,4,FALSE)*$D$315,0)</f>
        <v>8225902</v>
      </c>
      <c r="E182" s="25">
        <f>ROUND(VLOOKUP(A182,'Contribution Allocation_Report'!$A$9:$D$314,4,FALSE)*$E$315,0)</f>
        <v>10811184</v>
      </c>
      <c r="J182" s="51"/>
      <c r="K182" s="168"/>
    </row>
    <row r="183" spans="1:11">
      <c r="A183" s="12">
        <v>2414</v>
      </c>
      <c r="B183" s="13" t="s">
        <v>170</v>
      </c>
      <c r="C183" s="26">
        <f>ROUND(VLOOKUP(A183,'Contribution Allocation_Report'!$A$9:$D$314,4,FALSE)*$C$315,0)</f>
        <v>595259</v>
      </c>
      <c r="D183" s="26">
        <f>ROUND(VLOOKUP(A183,'Contribution Allocation_Report'!$A$9:$D$314,4,FALSE)*$D$315,0)</f>
        <v>800702</v>
      </c>
      <c r="E183" s="26">
        <f>ROUND(VLOOKUP(A183,'Contribution Allocation_Report'!$A$9:$D$314,4,FALSE)*$E$315,0)</f>
        <v>1052352</v>
      </c>
      <c r="J183" s="53"/>
      <c r="K183" s="168"/>
    </row>
    <row r="184" spans="1:11">
      <c r="A184" s="10">
        <v>6124</v>
      </c>
      <c r="B184" s="11" t="s">
        <v>171</v>
      </c>
      <c r="C184" s="25">
        <f>ROUND(VLOOKUP(A184,'Contribution Allocation_Report'!$A$9:$D$314,4,FALSE)*$C$315,0)</f>
        <v>3527484</v>
      </c>
      <c r="D184" s="25">
        <f>ROUND(VLOOKUP(A184,'Contribution Allocation_Report'!$A$9:$D$314,4,FALSE)*$D$315,0)</f>
        <v>4744938</v>
      </c>
      <c r="E184" s="25">
        <f>ROUND(VLOOKUP(A184,'Contribution Allocation_Report'!$A$9:$D$314,4,FALSE)*$E$315,0)</f>
        <v>6236204</v>
      </c>
      <c r="J184" s="51"/>
      <c r="K184" s="168"/>
    </row>
    <row r="185" spans="1:11">
      <c r="A185" s="12">
        <v>4097</v>
      </c>
      <c r="B185" s="13" t="s">
        <v>172</v>
      </c>
      <c r="C185" s="26">
        <f>ROUND(VLOOKUP(A185,'Contribution Allocation_Report'!$A$9:$D$314,4,FALSE)*$C$315,0)</f>
        <v>3292939</v>
      </c>
      <c r="D185" s="26">
        <f>ROUND(VLOOKUP(A185,'Contribution Allocation_Report'!$A$9:$D$314,4,FALSE)*$D$315,0)</f>
        <v>4429444</v>
      </c>
      <c r="E185" s="26">
        <f>ROUND(VLOOKUP(A185,'Contribution Allocation_Report'!$A$9:$D$314,4,FALSE)*$E$315,0)</f>
        <v>5821554</v>
      </c>
      <c r="J185" s="53"/>
      <c r="K185" s="168"/>
    </row>
    <row r="186" spans="1:11">
      <c r="A186" s="10">
        <v>1416</v>
      </c>
      <c r="B186" s="11" t="s">
        <v>173</v>
      </c>
      <c r="C186" s="25">
        <f>ROUND(VLOOKUP(A186,'Contribution Allocation_Report'!$A$9:$D$314,4,FALSE)*$C$315,0)</f>
        <v>537418</v>
      </c>
      <c r="D186" s="25">
        <f>ROUND(VLOOKUP(A186,'Contribution Allocation_Report'!$A$9:$D$314,4,FALSE)*$D$315,0)</f>
        <v>722899</v>
      </c>
      <c r="E186" s="25">
        <f>ROUND(VLOOKUP(A186,'Contribution Allocation_Report'!$A$9:$D$314,4,FALSE)*$E$315,0)</f>
        <v>950096</v>
      </c>
      <c r="J186" s="51"/>
      <c r="K186" s="168"/>
    </row>
    <row r="187" spans="1:11">
      <c r="A187" s="12">
        <v>1094</v>
      </c>
      <c r="B187" s="13" t="s">
        <v>174</v>
      </c>
      <c r="C187" s="26">
        <f>ROUND(VLOOKUP(A187,'Contribution Allocation_Report'!$A$9:$D$314,4,FALSE)*$C$315,0)</f>
        <v>2201616</v>
      </c>
      <c r="D187" s="26">
        <f>ROUND(VLOOKUP(A187,'Contribution Allocation_Report'!$A$9:$D$314,4,FALSE)*$D$315,0)</f>
        <v>2961468</v>
      </c>
      <c r="E187" s="26">
        <f>ROUND(VLOOKUP(A187,'Contribution Allocation_Report'!$A$9:$D$314,4,FALSE)*$E$315,0)</f>
        <v>3892215</v>
      </c>
      <c r="J187" s="53"/>
      <c r="K187" s="168"/>
    </row>
    <row r="188" spans="1:11">
      <c r="A188" s="10">
        <v>15104</v>
      </c>
      <c r="B188" s="11" t="s">
        <v>175</v>
      </c>
      <c r="C188" s="25">
        <f>ROUND(VLOOKUP(A188,'Contribution Allocation_Report'!$A$9:$D$314,4,FALSE)*$C$315,0)</f>
        <v>2227806</v>
      </c>
      <c r="D188" s="25">
        <f>ROUND(VLOOKUP(A188,'Contribution Allocation_Report'!$A$9:$D$314,4,FALSE)*$D$315,0)</f>
        <v>2996697</v>
      </c>
      <c r="E188" s="25">
        <f>ROUND(VLOOKUP(A188,'Contribution Allocation_Report'!$A$9:$D$314,4,FALSE)*$E$315,0)</f>
        <v>3938515</v>
      </c>
      <c r="J188" s="51"/>
      <c r="K188" s="168"/>
    </row>
    <row r="189" spans="1:11">
      <c r="A189" s="12">
        <v>2520</v>
      </c>
      <c r="B189" s="13" t="s">
        <v>176</v>
      </c>
      <c r="C189" s="26">
        <f>ROUND(VLOOKUP(A189,'Contribution Allocation_Report'!$A$9:$D$314,4,FALSE)*$C$315,0)</f>
        <v>454489</v>
      </c>
      <c r="D189" s="26">
        <f>ROUND(VLOOKUP(A189,'Contribution Allocation_Report'!$A$9:$D$314,4,FALSE)*$D$315,0)</f>
        <v>611348</v>
      </c>
      <c r="E189" s="26">
        <f>ROUND(VLOOKUP(A189,'Contribution Allocation_Report'!$A$9:$D$314,4,FALSE)*$E$315,0)</f>
        <v>803486</v>
      </c>
      <c r="J189" s="53"/>
      <c r="K189" s="168"/>
    </row>
    <row r="190" spans="1:11">
      <c r="A190" s="10">
        <v>3450</v>
      </c>
      <c r="B190" s="11" t="s">
        <v>177</v>
      </c>
      <c r="C190" s="25">
        <f>ROUND(VLOOKUP(A190,'Contribution Allocation_Report'!$A$9:$D$314,4,FALSE)*$C$315,0)</f>
        <v>820843</v>
      </c>
      <c r="D190" s="25">
        <f>ROUND(VLOOKUP(A190,'Contribution Allocation_Report'!$A$9:$D$314,4,FALSE)*$D$315,0)</f>
        <v>1104144</v>
      </c>
      <c r="E190" s="25">
        <f>ROUND(VLOOKUP(A190,'Contribution Allocation_Report'!$A$9:$D$314,4,FALSE)*$E$315,0)</f>
        <v>1451161</v>
      </c>
      <c r="J190" s="51"/>
      <c r="K190" s="168"/>
    </row>
    <row r="191" spans="1:11">
      <c r="A191" s="12">
        <v>4310</v>
      </c>
      <c r="B191" s="13" t="s">
        <v>178</v>
      </c>
      <c r="C191" s="26">
        <f>ROUND(VLOOKUP(A191,'Contribution Allocation_Report'!$A$9:$D$314,4,FALSE)*$C$315,0)</f>
        <v>382636</v>
      </c>
      <c r="D191" s="26">
        <f>ROUND(VLOOKUP(A191,'Contribution Allocation_Report'!$A$9:$D$314,4,FALSE)*$D$315,0)</f>
        <v>514697</v>
      </c>
      <c r="E191" s="26">
        <f>ROUND(VLOOKUP(A191,'Contribution Allocation_Report'!$A$9:$D$314,4,FALSE)*$E$315,0)</f>
        <v>676459</v>
      </c>
      <c r="J191" s="53"/>
      <c r="K191" s="168"/>
    </row>
    <row r="192" spans="1:11">
      <c r="A192" s="10">
        <v>2328</v>
      </c>
      <c r="B192" s="11" t="s">
        <v>179</v>
      </c>
      <c r="C192" s="25">
        <f>ROUND(VLOOKUP(A192,'Contribution Allocation_Report'!$A$9:$D$314,4,FALSE)*$C$315,0)</f>
        <v>358435</v>
      </c>
      <c r="D192" s="25">
        <f>ROUND(VLOOKUP(A192,'Contribution Allocation_Report'!$A$9:$D$314,4,FALSE)*$D$315,0)</f>
        <v>482143</v>
      </c>
      <c r="E192" s="25">
        <f>ROUND(VLOOKUP(A192,'Contribution Allocation_Report'!$A$9:$D$314,4,FALSE)*$E$315,0)</f>
        <v>633674</v>
      </c>
      <c r="J192" s="51"/>
      <c r="K192" s="168"/>
    </row>
    <row r="193" spans="1:11">
      <c r="A193" s="12">
        <v>12151</v>
      </c>
      <c r="B193" s="13" t="s">
        <v>180</v>
      </c>
      <c r="C193" s="26">
        <f>ROUND(VLOOKUP(A193,'Contribution Allocation_Report'!$A$9:$D$314,4,FALSE)*$C$315,0)</f>
        <v>180033</v>
      </c>
      <c r="D193" s="26">
        <f>ROUND(VLOOKUP(A193,'Contribution Allocation_Report'!$A$9:$D$314,4,FALSE)*$D$315,0)</f>
        <v>242168</v>
      </c>
      <c r="E193" s="26">
        <f>ROUND(VLOOKUP(A193,'Contribution Allocation_Report'!$A$9:$D$314,4,FALSE)*$E$315,0)</f>
        <v>318278</v>
      </c>
      <c r="J193" s="53"/>
      <c r="K193" s="168"/>
    </row>
    <row r="194" spans="1:11">
      <c r="A194" s="10">
        <v>17105</v>
      </c>
      <c r="B194" s="11" t="s">
        <v>476</v>
      </c>
      <c r="C194" s="25">
        <f>ROUND(VLOOKUP(A194,'Contribution Allocation_Report'!$A$9:$D$314,4,FALSE)*$C$315,0)</f>
        <v>2457213</v>
      </c>
      <c r="D194" s="25">
        <f>ROUND(VLOOKUP(A194,'Contribution Allocation_Report'!$A$9:$D$314,4,FALSE)*$D$315,0)</f>
        <v>3305281</v>
      </c>
      <c r="E194" s="25">
        <f>ROUND(VLOOKUP(A194,'Contribution Allocation_Report'!$A$9:$D$314,4,FALSE)*$E$315,0)</f>
        <v>4344083</v>
      </c>
      <c r="J194" s="53"/>
      <c r="K194" s="168"/>
    </row>
    <row r="195" spans="1:11">
      <c r="A195" s="12">
        <v>4215</v>
      </c>
      <c r="B195" s="13" t="s">
        <v>446</v>
      </c>
      <c r="C195" s="26">
        <f>ROUND(VLOOKUP(A195,'Contribution Allocation_Report'!$A$9:$D$314,4,FALSE)*$C$315,0)</f>
        <v>299793</v>
      </c>
      <c r="D195" s="26">
        <f>ROUND(VLOOKUP(A195,'Contribution Allocation_Report'!$A$9:$D$314,4,FALSE)*$D$315,0)</f>
        <v>403261</v>
      </c>
      <c r="E195" s="26">
        <f>ROUND(VLOOKUP(A195,'Contribution Allocation_Report'!$A$9:$D$314,4,FALSE)*$E$315,0)</f>
        <v>530000</v>
      </c>
      <c r="J195" s="51"/>
      <c r="K195" s="168"/>
    </row>
    <row r="196" spans="1:11">
      <c r="A196" s="10" t="s">
        <v>785</v>
      </c>
      <c r="B196" s="11" t="s">
        <v>784</v>
      </c>
      <c r="C196" s="25">
        <f>ROUND(VLOOKUP(A196,'Contribution Allocation_Report'!$A$9:$D$314,4,FALSE)*$C$315,0)</f>
        <v>192824</v>
      </c>
      <c r="D196" s="25">
        <f>ROUND(VLOOKUP(A196,'Contribution Allocation_Report'!$A$9:$D$314,4,FALSE)*$D$315,0)</f>
        <v>259375</v>
      </c>
      <c r="E196" s="25">
        <f>ROUND(VLOOKUP(A196,'Contribution Allocation_Report'!$A$9:$D$314,4,FALSE)*$E$315,0)</f>
        <v>340892</v>
      </c>
      <c r="J196" s="53"/>
      <c r="K196" s="168"/>
    </row>
    <row r="197" spans="1:11">
      <c r="A197" s="12">
        <v>2870</v>
      </c>
      <c r="B197" s="13" t="s">
        <v>183</v>
      </c>
      <c r="C197" s="26">
        <f>ROUND(VLOOKUP(A197,'Contribution Allocation_Report'!$A$9:$D$314,4,FALSE)*$C$315,0)</f>
        <v>354203</v>
      </c>
      <c r="D197" s="26">
        <f>ROUND(VLOOKUP(A197,'Contribution Allocation_Report'!$A$9:$D$314,4,FALSE)*$D$315,0)</f>
        <v>476450</v>
      </c>
      <c r="E197" s="26">
        <f>ROUND(VLOOKUP(A197,'Contribution Allocation_Report'!$A$9:$D$314,4,FALSE)*$E$315,0)</f>
        <v>626191</v>
      </c>
      <c r="J197" s="51"/>
      <c r="K197" s="168"/>
    </row>
    <row r="198" spans="1:11">
      <c r="A198" s="10">
        <v>29150</v>
      </c>
      <c r="B198" s="11" t="s">
        <v>184</v>
      </c>
      <c r="C198" s="25">
        <f>ROUND(VLOOKUP(A198,'Contribution Allocation_Report'!$A$9:$D$314,4,FALSE)*$C$315,0)</f>
        <v>254257</v>
      </c>
      <c r="D198" s="25">
        <f>ROUND(VLOOKUP(A198,'Contribution Allocation_Report'!$A$9:$D$314,4,FALSE)*$D$315,0)</f>
        <v>342010</v>
      </c>
      <c r="E198" s="25">
        <f>ROUND(VLOOKUP(A198,'Contribution Allocation_Report'!$A$9:$D$314,4,FALSE)*$E$315,0)</f>
        <v>449499</v>
      </c>
      <c r="J198" s="53"/>
      <c r="K198" s="168"/>
    </row>
    <row r="199" spans="1:11">
      <c r="A199" s="12">
        <v>3433</v>
      </c>
      <c r="B199" s="13" t="s">
        <v>477</v>
      </c>
      <c r="C199" s="26">
        <f>ROUND(VLOOKUP(A199,'Contribution Allocation_Report'!$A$9:$D$314,4,FALSE)*$C$315,0)</f>
        <v>1869379</v>
      </c>
      <c r="D199" s="26">
        <f>ROUND(VLOOKUP(A199,'Contribution Allocation_Report'!$A$9:$D$314,4,FALSE)*$D$315,0)</f>
        <v>2514565</v>
      </c>
      <c r="E199" s="26">
        <f>ROUND(VLOOKUP(A199,'Contribution Allocation_Report'!$A$9:$D$314,4,FALSE)*$E$315,0)</f>
        <v>3304856</v>
      </c>
      <c r="J199" s="51"/>
      <c r="K199" s="168"/>
    </row>
    <row r="200" spans="1:11">
      <c r="A200" s="10">
        <v>12039</v>
      </c>
      <c r="B200" s="11" t="s">
        <v>187</v>
      </c>
      <c r="C200" s="25">
        <f>ROUND(VLOOKUP(A200,'Contribution Allocation_Report'!$A$9:$D$314,4,FALSE)*$C$315,0)</f>
        <v>792640</v>
      </c>
      <c r="D200" s="25">
        <f>ROUND(VLOOKUP(A200,'Contribution Allocation_Report'!$A$9:$D$314,4,FALSE)*$D$315,0)</f>
        <v>1066207</v>
      </c>
      <c r="E200" s="25">
        <f>ROUND(VLOOKUP(A200,'Contribution Allocation_Report'!$A$9:$D$314,4,FALSE)*$E$315,0)</f>
        <v>1401300</v>
      </c>
      <c r="J200" s="53"/>
      <c r="K200" s="168"/>
    </row>
    <row r="201" spans="1:11">
      <c r="A201" s="12">
        <v>12150</v>
      </c>
      <c r="B201" s="13" t="s">
        <v>188</v>
      </c>
      <c r="C201" s="26">
        <f>ROUND(VLOOKUP(A201,'Contribution Allocation_Report'!$A$9:$D$314,4,FALSE)*$C$315,0)</f>
        <v>158374</v>
      </c>
      <c r="D201" s="26">
        <f>ROUND(VLOOKUP(A201,'Contribution Allocation_Report'!$A$9:$D$314,4,FALSE)*$D$315,0)</f>
        <v>213035</v>
      </c>
      <c r="E201" s="26">
        <f>ROUND(VLOOKUP(A201,'Contribution Allocation_Report'!$A$9:$D$314,4,FALSE)*$E$315,0)</f>
        <v>279988</v>
      </c>
      <c r="J201" s="51"/>
      <c r="K201" s="168"/>
    </row>
    <row r="202" spans="1:11">
      <c r="A202" s="10">
        <v>20060</v>
      </c>
      <c r="B202" s="11" t="s">
        <v>189</v>
      </c>
      <c r="C202" s="25">
        <f>ROUND(VLOOKUP(A202,'Contribution Allocation_Report'!$A$9:$D$314,4,FALSE)*$C$315,0)</f>
        <v>649532</v>
      </c>
      <c r="D202" s="25">
        <f>ROUND(VLOOKUP(A202,'Contribution Allocation_Report'!$A$9:$D$314,4,FALSE)*$D$315,0)</f>
        <v>873708</v>
      </c>
      <c r="E202" s="25">
        <f>ROUND(VLOOKUP(A202,'Contribution Allocation_Report'!$A$9:$D$314,4,FALSE)*$E$315,0)</f>
        <v>1148301</v>
      </c>
      <c r="J202" s="53"/>
      <c r="K202" s="168"/>
    </row>
    <row r="203" spans="1:11">
      <c r="A203" s="12">
        <v>1001</v>
      </c>
      <c r="B203" s="13" t="s">
        <v>190</v>
      </c>
      <c r="C203" s="26">
        <f>ROUND(VLOOKUP(A203,'Contribution Allocation_Report'!$A$9:$D$314,4,FALSE)*$C$315,0)</f>
        <v>2540160</v>
      </c>
      <c r="D203" s="26">
        <f>ROUND(VLOOKUP(A203,'Contribution Allocation_Report'!$A$9:$D$314,4,FALSE)*$D$315,0)</f>
        <v>3416855</v>
      </c>
      <c r="E203" s="26">
        <f>ROUND(VLOOKUP(A203,'Contribution Allocation_Report'!$A$9:$D$314,4,FALSE)*$E$315,0)</f>
        <v>4490723</v>
      </c>
      <c r="J203" s="51"/>
      <c r="K203" s="168"/>
    </row>
    <row r="204" spans="1:11">
      <c r="A204" s="10">
        <v>11035</v>
      </c>
      <c r="B204" s="11" t="s">
        <v>191</v>
      </c>
      <c r="C204" s="25">
        <f>ROUND(VLOOKUP(A204,'Contribution Allocation_Report'!$A$9:$D$314,4,FALSE)*$C$315,0)</f>
        <v>4362024</v>
      </c>
      <c r="D204" s="25">
        <f>ROUND(VLOOKUP(A204,'Contribution Allocation_Report'!$A$9:$D$314,4,FALSE)*$D$315,0)</f>
        <v>5867506</v>
      </c>
      <c r="E204" s="25">
        <f>ROUND(VLOOKUP(A204,'Contribution Allocation_Report'!$A$9:$D$314,4,FALSE)*$E$315,0)</f>
        <v>7711578</v>
      </c>
      <c r="J204" s="53"/>
      <c r="K204" s="168"/>
    </row>
    <row r="205" spans="1:11">
      <c r="A205" s="12">
        <v>2320</v>
      </c>
      <c r="B205" s="13" t="s">
        <v>192</v>
      </c>
      <c r="C205" s="26">
        <f>ROUND(VLOOKUP(A205,'Contribution Allocation_Report'!$A$9:$D$314,4,FALSE)*$C$315,0)</f>
        <v>512611</v>
      </c>
      <c r="D205" s="26">
        <f>ROUND(VLOOKUP(A205,'Contribution Allocation_Report'!$A$9:$D$314,4,FALSE)*$D$315,0)</f>
        <v>689530</v>
      </c>
      <c r="E205" s="26">
        <f>ROUND(VLOOKUP(A205,'Contribution Allocation_Report'!$A$9:$D$314,4,FALSE)*$E$315,0)</f>
        <v>906240</v>
      </c>
      <c r="J205" s="51"/>
      <c r="K205" s="168"/>
    </row>
    <row r="206" spans="1:11">
      <c r="A206" s="10">
        <v>28084</v>
      </c>
      <c r="B206" s="11" t="s">
        <v>193</v>
      </c>
      <c r="C206" s="25">
        <f>ROUND(VLOOKUP(A206,'Contribution Allocation_Report'!$A$9:$D$314,4,FALSE)*$C$315,0)</f>
        <v>457151</v>
      </c>
      <c r="D206" s="25">
        <f>ROUND(VLOOKUP(A206,'Contribution Allocation_Report'!$A$9:$D$314,4,FALSE)*$D$315,0)</f>
        <v>614930</v>
      </c>
      <c r="E206" s="25">
        <f>ROUND(VLOOKUP(A206,'Contribution Allocation_Report'!$A$9:$D$314,4,FALSE)*$E$315,0)</f>
        <v>808193</v>
      </c>
      <c r="J206" s="53"/>
      <c r="K206" s="168"/>
    </row>
    <row r="207" spans="1:11">
      <c r="A207" s="12">
        <v>20125</v>
      </c>
      <c r="B207" s="13" t="s">
        <v>194</v>
      </c>
      <c r="C207" s="26">
        <f>ROUND(VLOOKUP(A207,'Contribution Allocation_Report'!$A$9:$D$314,4,FALSE)*$C$315,0)</f>
        <v>635349</v>
      </c>
      <c r="D207" s="26">
        <f>ROUND(VLOOKUP(A207,'Contribution Allocation_Report'!$A$9:$D$314,4,FALSE)*$D$315,0)</f>
        <v>854630</v>
      </c>
      <c r="E207" s="26">
        <f>ROUND(VLOOKUP(A207,'Contribution Allocation_Report'!$A$9:$D$314,4,FALSE)*$E$315,0)</f>
        <v>1123228</v>
      </c>
      <c r="J207" s="51"/>
      <c r="K207" s="168"/>
    </row>
    <row r="208" spans="1:11">
      <c r="A208" s="10">
        <v>7445</v>
      </c>
      <c r="B208" s="11" t="s">
        <v>401</v>
      </c>
      <c r="C208" s="25">
        <f>ROUND(VLOOKUP(A208,'Contribution Allocation_Report'!$A$9:$D$314,4,FALSE)*$C$315,0)</f>
        <v>249615</v>
      </c>
      <c r="D208" s="25">
        <f>ROUND(VLOOKUP(A208,'Contribution Allocation_Report'!$A$9:$D$314,4,FALSE)*$D$315,0)</f>
        <v>335766</v>
      </c>
      <c r="E208" s="25">
        <f>ROUND(VLOOKUP(A208,'Contribution Allocation_Report'!$A$9:$D$314,4,FALSE)*$E$315,0)</f>
        <v>441292</v>
      </c>
      <c r="J208" s="53"/>
      <c r="K208" s="168"/>
    </row>
    <row r="209" spans="1:11">
      <c r="A209" s="12">
        <v>9029</v>
      </c>
      <c r="B209" s="13" t="s">
        <v>196</v>
      </c>
      <c r="C209" s="26">
        <f>ROUND(VLOOKUP(A209,'Contribution Allocation_Report'!$A$9:$D$314,4,FALSE)*$C$315,0)</f>
        <v>1325245</v>
      </c>
      <c r="D209" s="26">
        <f>ROUND(VLOOKUP(A209,'Contribution Allocation_Report'!$A$9:$D$314,4,FALSE)*$D$315,0)</f>
        <v>1782632</v>
      </c>
      <c r="E209" s="26">
        <f>ROUND(VLOOKUP(A209,'Contribution Allocation_Report'!$A$9:$D$314,4,FALSE)*$E$315,0)</f>
        <v>2342887</v>
      </c>
      <c r="J209" s="51"/>
      <c r="K209" s="168"/>
    </row>
    <row r="210" spans="1:11">
      <c r="A210" s="10">
        <v>2580</v>
      </c>
      <c r="B210" s="11" t="s">
        <v>197</v>
      </c>
      <c r="C210" s="25">
        <f>ROUND(VLOOKUP(A210,'Contribution Allocation_Report'!$A$9:$D$314,4,FALSE)*$C$315,0)</f>
        <v>167642</v>
      </c>
      <c r="D210" s="25">
        <f>ROUND(VLOOKUP(A210,'Contribution Allocation_Report'!$A$9:$D$314,4,FALSE)*$D$315,0)</f>
        <v>225501</v>
      </c>
      <c r="E210" s="25">
        <f>ROUND(VLOOKUP(A210,'Contribution Allocation_Report'!$A$9:$D$314,4,FALSE)*$E$315,0)</f>
        <v>296372</v>
      </c>
      <c r="J210" s="53"/>
      <c r="K210" s="168"/>
    </row>
    <row r="211" spans="1:11">
      <c r="A211" s="12">
        <v>20312</v>
      </c>
      <c r="B211" s="13" t="s">
        <v>198</v>
      </c>
      <c r="C211" s="26">
        <f>ROUND(VLOOKUP(A211,'Contribution Allocation_Report'!$A$9:$D$314,4,FALSE)*$C$315,0)</f>
        <v>134455</v>
      </c>
      <c r="D211" s="26">
        <f>ROUND(VLOOKUP(A211,'Contribution Allocation_Report'!$A$9:$D$314,4,FALSE)*$D$315,0)</f>
        <v>180860</v>
      </c>
      <c r="E211" s="26">
        <f>ROUND(VLOOKUP(A211,'Contribution Allocation_Report'!$A$9:$D$314,4,FALSE)*$E$315,0)</f>
        <v>237701</v>
      </c>
      <c r="J211" s="51"/>
      <c r="K211" s="168"/>
    </row>
    <row r="212" spans="1:11">
      <c r="A212" s="10">
        <v>26150</v>
      </c>
      <c r="B212" s="11" t="s">
        <v>199</v>
      </c>
      <c r="C212" s="25">
        <f>ROUND(VLOOKUP(A212,'Contribution Allocation_Report'!$A$9:$D$314,4,FALSE)*$C$315,0)</f>
        <v>1107469</v>
      </c>
      <c r="D212" s="25">
        <f>ROUND(VLOOKUP(A212,'Contribution Allocation_Report'!$A$9:$D$314,4,FALSE)*$D$315,0)</f>
        <v>1489693</v>
      </c>
      <c r="E212" s="25">
        <f>ROUND(VLOOKUP(A212,'Contribution Allocation_Report'!$A$9:$D$314,4,FALSE)*$E$315,0)</f>
        <v>1957882</v>
      </c>
      <c r="J212" s="53"/>
      <c r="K212" s="168"/>
    </row>
    <row r="213" spans="1:11">
      <c r="A213" s="12">
        <v>5016</v>
      </c>
      <c r="B213" s="13" t="s">
        <v>200</v>
      </c>
      <c r="C213" s="26">
        <f>ROUND(VLOOKUP(A213,'Contribution Allocation_Report'!$A$9:$D$314,4,FALSE)*$C$315,0)</f>
        <v>137723</v>
      </c>
      <c r="D213" s="26">
        <f>ROUND(VLOOKUP(A213,'Contribution Allocation_Report'!$A$9:$D$314,4,FALSE)*$D$315,0)</f>
        <v>185256</v>
      </c>
      <c r="E213" s="26">
        <f>ROUND(VLOOKUP(A213,'Contribution Allocation_Report'!$A$9:$D$314,4,FALSE)*$E$315,0)</f>
        <v>243479</v>
      </c>
      <c r="J213" s="51"/>
      <c r="K213" s="168"/>
    </row>
    <row r="214" spans="1:11">
      <c r="A214" s="10">
        <v>6150</v>
      </c>
      <c r="B214" s="11" t="s">
        <v>201</v>
      </c>
      <c r="C214" s="25">
        <f>ROUND(VLOOKUP(A214,'Contribution Allocation_Report'!$A$9:$D$314,4,FALSE)*$C$315,0)</f>
        <v>103990</v>
      </c>
      <c r="D214" s="25">
        <f>ROUND(VLOOKUP(A214,'Contribution Allocation_Report'!$A$9:$D$314,4,FALSE)*$D$315,0)</f>
        <v>139880</v>
      </c>
      <c r="E214" s="25">
        <f>ROUND(VLOOKUP(A214,'Contribution Allocation_Report'!$A$9:$D$314,4,FALSE)*$E$315,0)</f>
        <v>183843</v>
      </c>
      <c r="J214" s="53"/>
      <c r="K214" s="168"/>
    </row>
    <row r="215" spans="1:11">
      <c r="A215" s="12">
        <v>4480</v>
      </c>
      <c r="B215" s="13" t="s">
        <v>202</v>
      </c>
      <c r="C215" s="26">
        <f>ROUND(VLOOKUP(A215,'Contribution Allocation_Report'!$A$9:$D$314,4,FALSE)*$C$315,0)</f>
        <v>197176</v>
      </c>
      <c r="D215" s="26">
        <f>ROUND(VLOOKUP(A215,'Contribution Allocation_Report'!$A$9:$D$314,4,FALSE)*$D$315,0)</f>
        <v>265229</v>
      </c>
      <c r="E215" s="26">
        <f>ROUND(VLOOKUP(A215,'Contribution Allocation_Report'!$A$9:$D$314,4,FALSE)*$E$315,0)</f>
        <v>348586</v>
      </c>
      <c r="J215" s="51"/>
      <c r="K215" s="168"/>
    </row>
    <row r="216" spans="1:11">
      <c r="A216" s="10">
        <v>28085</v>
      </c>
      <c r="B216" s="11" t="s">
        <v>203</v>
      </c>
      <c r="C216" s="25">
        <f>ROUND(VLOOKUP(A216,'Contribution Allocation_Report'!$A$9:$D$314,4,FALSE)*$C$315,0)</f>
        <v>356251</v>
      </c>
      <c r="D216" s="25">
        <f>ROUND(VLOOKUP(A216,'Contribution Allocation_Report'!$A$9:$D$314,4,FALSE)*$D$315,0)</f>
        <v>479205</v>
      </c>
      <c r="E216" s="25">
        <f>ROUND(VLOOKUP(A216,'Contribution Allocation_Report'!$A$9:$D$314,4,FALSE)*$E$315,0)</f>
        <v>629812</v>
      </c>
      <c r="J216" s="53"/>
      <c r="K216" s="168"/>
    </row>
    <row r="217" spans="1:11">
      <c r="A217" s="12">
        <v>3240</v>
      </c>
      <c r="B217" s="13" t="s">
        <v>204</v>
      </c>
      <c r="C217" s="26">
        <f>ROUND(VLOOKUP(A217,'Contribution Allocation_Report'!$A$9:$D$314,4,FALSE)*$C$315,0)</f>
        <v>2245078</v>
      </c>
      <c r="D217" s="26">
        <f>ROUND(VLOOKUP(A217,'Contribution Allocation_Report'!$A$9:$D$314,4,FALSE)*$D$315,0)</f>
        <v>3019930</v>
      </c>
      <c r="E217" s="26">
        <f>ROUND(VLOOKUP(A217,'Contribution Allocation_Report'!$A$9:$D$314,4,FALSE)*$E$315,0)</f>
        <v>3969050</v>
      </c>
      <c r="J217" s="51"/>
      <c r="K217" s="168"/>
    </row>
    <row r="218" spans="1:11">
      <c r="A218" s="10">
        <v>12326</v>
      </c>
      <c r="B218" s="11" t="s">
        <v>205</v>
      </c>
      <c r="C218" s="25">
        <f>ROUND(VLOOKUP(A218,'Contribution Allocation_Report'!$A$9:$D$314,4,FALSE)*$C$315,0)</f>
        <v>148911</v>
      </c>
      <c r="D218" s="25">
        <f>ROUND(VLOOKUP(A218,'Contribution Allocation_Report'!$A$9:$D$314,4,FALSE)*$D$315,0)</f>
        <v>200305</v>
      </c>
      <c r="E218" s="25">
        <f>ROUND(VLOOKUP(A218,'Contribution Allocation_Report'!$A$9:$D$314,4,FALSE)*$E$315,0)</f>
        <v>263258</v>
      </c>
      <c r="J218" s="53"/>
      <c r="K218" s="168"/>
    </row>
    <row r="219" spans="1:11">
      <c r="A219" s="12">
        <v>2445</v>
      </c>
      <c r="B219" s="43" t="s">
        <v>427</v>
      </c>
      <c r="C219" s="67">
        <f>ROUND(VLOOKUP(A219,'Contribution Allocation_Report'!$A$9:$D$314,4,FALSE)*$C$315,0)</f>
        <v>233111</v>
      </c>
      <c r="D219" s="67">
        <f>ROUND(VLOOKUP(A219,'Contribution Allocation_Report'!$A$9:$D$314,4,FALSE)*$D$315,0)</f>
        <v>313566</v>
      </c>
      <c r="E219" s="67">
        <f>ROUND(VLOOKUP(A219,'Contribution Allocation_Report'!$A$9:$D$314,4,FALSE)*$E$315,0)</f>
        <v>412115</v>
      </c>
      <c r="J219" s="51"/>
      <c r="K219" s="168"/>
    </row>
    <row r="220" spans="1:11">
      <c r="A220" s="10">
        <v>29123</v>
      </c>
      <c r="B220" s="11" t="s">
        <v>206</v>
      </c>
      <c r="C220" s="25">
        <f>ROUND(VLOOKUP(A220,'Contribution Allocation_Report'!$A$9:$D$314,4,FALSE)*$C$315,0)</f>
        <v>26046963</v>
      </c>
      <c r="D220" s="25">
        <f>ROUND(VLOOKUP(A220,'Contribution Allocation_Report'!$A$9:$D$314,4,FALSE)*$D$315,0)</f>
        <v>35036653</v>
      </c>
      <c r="E220" s="25">
        <f>ROUND(VLOOKUP(A220,'Contribution Allocation_Report'!$A$9:$D$314,4,FALSE)*$E$315,0)</f>
        <v>46048164</v>
      </c>
      <c r="J220" s="53"/>
      <c r="K220" s="168"/>
    </row>
    <row r="221" spans="1:11">
      <c r="A221" s="12">
        <v>2318</v>
      </c>
      <c r="B221" s="13" t="s">
        <v>207</v>
      </c>
      <c r="C221" s="26">
        <f>ROUND(VLOOKUP(A221,'Contribution Allocation_Report'!$A$9:$D$314,4,FALSE)*$C$315,0)</f>
        <v>498693</v>
      </c>
      <c r="D221" s="26">
        <f>ROUND(VLOOKUP(A221,'Contribution Allocation_Report'!$A$9:$D$314,4,FALSE)*$D$315,0)</f>
        <v>670809</v>
      </c>
      <c r="E221" s="26">
        <f>ROUND(VLOOKUP(A221,'Contribution Allocation_Report'!$A$9:$D$314,4,FALSE)*$E$315,0)</f>
        <v>881634</v>
      </c>
      <c r="J221" s="51"/>
      <c r="K221" s="168"/>
    </row>
    <row r="222" spans="1:11">
      <c r="A222" s="10">
        <v>3250</v>
      </c>
      <c r="B222" s="11" t="s">
        <v>208</v>
      </c>
      <c r="C222" s="25">
        <f>ROUND(VLOOKUP(A222,'Contribution Allocation_Report'!$A$9:$D$314,4,FALSE)*$C$315,0)</f>
        <v>748385</v>
      </c>
      <c r="D222" s="25">
        <f>ROUND(VLOOKUP(A222,'Contribution Allocation_Report'!$A$9:$D$314,4,FALSE)*$D$315,0)</f>
        <v>1006678</v>
      </c>
      <c r="E222" s="25">
        <f>ROUND(VLOOKUP(A222,'Contribution Allocation_Report'!$A$9:$D$314,4,FALSE)*$E$315,0)</f>
        <v>1323062</v>
      </c>
      <c r="J222" s="53"/>
      <c r="K222" s="168"/>
    </row>
    <row r="223" spans="1:11">
      <c r="A223" s="12">
        <v>2313</v>
      </c>
      <c r="B223" s="13" t="s">
        <v>209</v>
      </c>
      <c r="C223" s="26">
        <f>ROUND(VLOOKUP(A223,'Contribution Allocation_Report'!$A$9:$D$314,4,FALSE)*$C$315,0)</f>
        <v>98733</v>
      </c>
      <c r="D223" s="26">
        <f>ROUND(VLOOKUP(A223,'Contribution Allocation_Report'!$A$9:$D$314,4,FALSE)*$D$315,0)</f>
        <v>132810</v>
      </c>
      <c r="E223" s="26">
        <f>ROUND(VLOOKUP(A223,'Contribution Allocation_Report'!$A$9:$D$314,4,FALSE)*$E$315,0)</f>
        <v>174550</v>
      </c>
      <c r="J223" s="51"/>
      <c r="K223" s="168"/>
    </row>
    <row r="224" spans="1:11">
      <c r="A224" s="10">
        <v>4011</v>
      </c>
      <c r="B224" s="11" t="s">
        <v>210</v>
      </c>
      <c r="C224" s="25">
        <f>ROUND(VLOOKUP(A224,'Contribution Allocation_Report'!$A$9:$D$314,4,FALSE)*$C$315,0)</f>
        <v>14851076</v>
      </c>
      <c r="D224" s="25">
        <f>ROUND(VLOOKUP(A224,'Contribution Allocation_Report'!$A$9:$D$314,4,FALSE)*$D$315,0)</f>
        <v>19976686</v>
      </c>
      <c r="E224" s="25">
        <f>ROUND(VLOOKUP(A224,'Contribution Allocation_Report'!$A$9:$D$314,4,FALSE)*$E$315,0)</f>
        <v>26255068</v>
      </c>
      <c r="J224" s="53"/>
      <c r="K224" s="168"/>
    </row>
    <row r="225" spans="1:11">
      <c r="A225" s="12">
        <v>31092</v>
      </c>
      <c r="B225" s="13" t="s">
        <v>211</v>
      </c>
      <c r="C225" s="26">
        <f>ROUND(VLOOKUP(A225,'Contribution Allocation_Report'!$A$9:$D$314,4,FALSE)*$C$315,0)</f>
        <v>239785</v>
      </c>
      <c r="D225" s="26">
        <f>ROUND(VLOOKUP(A225,'Contribution Allocation_Report'!$A$9:$D$314,4,FALSE)*$D$315,0)</f>
        <v>322542</v>
      </c>
      <c r="E225" s="26">
        <f>ROUND(VLOOKUP(A225,'Contribution Allocation_Report'!$A$9:$D$314,4,FALSE)*$E$315,0)</f>
        <v>423913</v>
      </c>
      <c r="J225" s="51"/>
      <c r="K225" s="168"/>
    </row>
    <row r="226" spans="1:11">
      <c r="A226" s="10">
        <v>26081</v>
      </c>
      <c r="B226" s="11" t="s">
        <v>212</v>
      </c>
      <c r="C226" s="25">
        <f>ROUND(VLOOKUP(A226,'Contribution Allocation_Report'!$A$9:$D$314,4,FALSE)*$C$315,0)</f>
        <v>2556117</v>
      </c>
      <c r="D226" s="25">
        <f>ROUND(VLOOKUP(A226,'Contribution Allocation_Report'!$A$9:$D$314,4,FALSE)*$D$315,0)</f>
        <v>3438320</v>
      </c>
      <c r="E226" s="25">
        <f>ROUND(VLOOKUP(A226,'Contribution Allocation_Report'!$A$9:$D$314,4,FALSE)*$E$315,0)</f>
        <v>4518934</v>
      </c>
      <c r="J226" s="53"/>
      <c r="K226" s="168"/>
    </row>
    <row r="227" spans="1:11">
      <c r="A227" s="12">
        <v>29305</v>
      </c>
      <c r="B227" s="23" t="s">
        <v>213</v>
      </c>
      <c r="C227" s="26">
        <f>ROUND(VLOOKUP(A227,'Contribution Allocation_Report'!$A$9:$D$314,4,FALSE)*$C$315,0)</f>
        <v>138107</v>
      </c>
      <c r="D227" s="26">
        <f>ROUND(VLOOKUP(A227,'Contribution Allocation_Report'!$A$9:$D$314,4,FALSE)*$D$315,0)</f>
        <v>185773</v>
      </c>
      <c r="E227" s="26">
        <f>ROUND(VLOOKUP(A227,'Contribution Allocation_Report'!$A$9:$D$314,4,FALSE)*$E$315,0)</f>
        <v>244158</v>
      </c>
      <c r="J227" s="51"/>
      <c r="K227" s="168"/>
    </row>
    <row r="228" spans="1:11">
      <c r="A228" s="10">
        <v>10032</v>
      </c>
      <c r="B228" s="11" t="s">
        <v>214</v>
      </c>
      <c r="C228" s="25">
        <f>ROUND(VLOOKUP(A228,'Contribution Allocation_Report'!$A$9:$D$314,4,FALSE)*$C$315,0)</f>
        <v>325811</v>
      </c>
      <c r="D228" s="25">
        <f>ROUND(VLOOKUP(A228,'Contribution Allocation_Report'!$A$9:$D$314,4,FALSE)*$D$315,0)</f>
        <v>438260</v>
      </c>
      <c r="E228" s="25">
        <f>ROUND(VLOOKUP(A228,'Contribution Allocation_Report'!$A$9:$D$314,4,FALSE)*$E$315,0)</f>
        <v>575999</v>
      </c>
      <c r="J228" s="53"/>
      <c r="K228" s="168"/>
    </row>
    <row r="229" spans="1:11">
      <c r="A229" s="12">
        <v>32107</v>
      </c>
      <c r="B229" s="13" t="s">
        <v>215</v>
      </c>
      <c r="C229" s="26">
        <f>ROUND(VLOOKUP(A229,'Contribution Allocation_Report'!$A$9:$D$314,4,FALSE)*$C$315,0)</f>
        <v>415747</v>
      </c>
      <c r="D229" s="26">
        <f>ROUND(VLOOKUP(A229,'Contribution Allocation_Report'!$A$9:$D$314,4,FALSE)*$D$315,0)</f>
        <v>559235</v>
      </c>
      <c r="E229" s="26">
        <f>ROUND(VLOOKUP(A229,'Contribution Allocation_Report'!$A$9:$D$314,4,FALSE)*$E$315,0)</f>
        <v>734994</v>
      </c>
      <c r="J229" s="51"/>
      <c r="K229" s="168"/>
    </row>
    <row r="230" spans="1:11">
      <c r="A230" s="10">
        <v>3260</v>
      </c>
      <c r="B230" s="11" t="s">
        <v>216</v>
      </c>
      <c r="C230" s="25">
        <f>ROUND(VLOOKUP(A230,'Contribution Allocation_Report'!$A$9:$D$314,4,FALSE)*$C$315,0)</f>
        <v>6222656</v>
      </c>
      <c r="D230" s="25">
        <f>ROUND(VLOOKUP(A230,'Contribution Allocation_Report'!$A$9:$D$314,4,FALSE)*$D$315,0)</f>
        <v>8370305</v>
      </c>
      <c r="E230" s="25">
        <f>ROUND(VLOOKUP(A230,'Contribution Allocation_Report'!$A$9:$D$314,4,FALSE)*$E$315,0)</f>
        <v>11000971</v>
      </c>
      <c r="J230" s="53"/>
      <c r="K230" s="168"/>
    </row>
    <row r="231" spans="1:11">
      <c r="A231" s="12">
        <v>4390</v>
      </c>
      <c r="B231" s="13" t="s">
        <v>217</v>
      </c>
      <c r="C231" s="26">
        <f>ROUND(VLOOKUP(A231,'Contribution Allocation_Report'!$A$9:$D$314,4,FALSE)*$C$315,0)</f>
        <v>74677</v>
      </c>
      <c r="D231" s="26">
        <f>ROUND(VLOOKUP(A231,'Contribution Allocation_Report'!$A$9:$D$314,4,FALSE)*$D$315,0)</f>
        <v>100451</v>
      </c>
      <c r="E231" s="26">
        <f>ROUND(VLOOKUP(A231,'Contribution Allocation_Report'!$A$9:$D$314,4,FALSE)*$E$315,0)</f>
        <v>132021</v>
      </c>
      <c r="J231" s="51"/>
      <c r="K231" s="168"/>
    </row>
    <row r="232" spans="1:11">
      <c r="A232" s="10">
        <v>3270</v>
      </c>
      <c r="B232" s="11" t="s">
        <v>218</v>
      </c>
      <c r="C232" s="25">
        <f>ROUND(VLOOKUP(A232,'Contribution Allocation_Report'!$A$9:$D$314,4,FALSE)*$C$315,0)</f>
        <v>950110</v>
      </c>
      <c r="D232" s="25">
        <f>ROUND(VLOOKUP(A232,'Contribution Allocation_Report'!$A$9:$D$314,4,FALSE)*$D$315,0)</f>
        <v>1278025</v>
      </c>
      <c r="E232" s="25">
        <f>ROUND(VLOOKUP(A232,'Contribution Allocation_Report'!$A$9:$D$314,4,FALSE)*$E$315,0)</f>
        <v>1679689</v>
      </c>
      <c r="J232" s="53"/>
      <c r="K232" s="168"/>
    </row>
    <row r="233" spans="1:11">
      <c r="A233" s="12">
        <v>29303</v>
      </c>
      <c r="B233" s="13" t="s">
        <v>219</v>
      </c>
      <c r="C233" s="26">
        <f>ROUND(VLOOKUP(A233,'Contribution Allocation_Report'!$A$9:$D$314,4,FALSE)*$C$315,0)</f>
        <v>275267</v>
      </c>
      <c r="D233" s="26">
        <f>ROUND(VLOOKUP(A233,'Contribution Allocation_Report'!$A$9:$D$314,4,FALSE)*$D$315,0)</f>
        <v>370271</v>
      </c>
      <c r="E233" s="26">
        <f>ROUND(VLOOKUP(A233,'Contribution Allocation_Report'!$A$9:$D$314,4,FALSE)*$E$315,0)</f>
        <v>486642</v>
      </c>
      <c r="J233" s="51"/>
      <c r="K233" s="168"/>
    </row>
    <row r="234" spans="1:11">
      <c r="A234" s="10">
        <v>3280</v>
      </c>
      <c r="B234" s="11" t="s">
        <v>220</v>
      </c>
      <c r="C234" s="25">
        <f>ROUND(VLOOKUP(A234,'Contribution Allocation_Report'!$A$9:$D$314,4,FALSE)*$C$315,0)</f>
        <v>4882793</v>
      </c>
      <c r="D234" s="25">
        <f>ROUND(VLOOKUP(A234,'Contribution Allocation_Report'!$A$9:$D$314,4,FALSE)*$D$315,0)</f>
        <v>6568010</v>
      </c>
      <c r="E234" s="25">
        <f>ROUND(VLOOKUP(A234,'Contribution Allocation_Report'!$A$9:$D$314,4,FALSE)*$E$315,0)</f>
        <v>8632240</v>
      </c>
      <c r="J234" s="53"/>
      <c r="K234" s="168"/>
    </row>
    <row r="235" spans="1:11">
      <c r="A235" s="12">
        <v>4260</v>
      </c>
      <c r="B235" s="13" t="s">
        <v>221</v>
      </c>
      <c r="C235" s="26">
        <f>ROUND(VLOOKUP(A235,'Contribution Allocation_Report'!$A$9:$D$314,4,FALSE)*$C$315,0)</f>
        <v>355730</v>
      </c>
      <c r="D235" s="26">
        <f>ROUND(VLOOKUP(A235,'Contribution Allocation_Report'!$A$9:$D$314,4,FALSE)*$D$315,0)</f>
        <v>478505</v>
      </c>
      <c r="E235" s="26">
        <f>ROUND(VLOOKUP(A235,'Contribution Allocation_Report'!$A$9:$D$314,4,FALSE)*$E$315,0)</f>
        <v>628892</v>
      </c>
      <c r="J235" s="51"/>
      <c r="K235" s="168"/>
    </row>
    <row r="236" spans="1:11">
      <c r="A236" s="10">
        <v>1003</v>
      </c>
      <c r="B236" s="11" t="s">
        <v>222</v>
      </c>
      <c r="C236" s="25">
        <f>ROUND(VLOOKUP(A236,'Contribution Allocation_Report'!$A$9:$D$314,4,FALSE)*$C$315,0)</f>
        <v>5307354</v>
      </c>
      <c r="D236" s="25">
        <f>ROUND(VLOOKUP(A236,'Contribution Allocation_Report'!$A$9:$D$314,4,FALSE)*$D$315,0)</f>
        <v>7139102</v>
      </c>
      <c r="E236" s="25">
        <f>ROUND(VLOOKUP(A236,'Contribution Allocation_Report'!$A$9:$D$314,4,FALSE)*$E$315,0)</f>
        <v>9382819</v>
      </c>
      <c r="J236" s="53"/>
      <c r="K236" s="168"/>
    </row>
    <row r="237" spans="1:11">
      <c r="A237" s="12">
        <v>3290</v>
      </c>
      <c r="B237" s="13" t="s">
        <v>223</v>
      </c>
      <c r="C237" s="26">
        <f>ROUND(VLOOKUP(A237,'Contribution Allocation_Report'!$A$9:$D$314,4,FALSE)*$C$315,0)</f>
        <v>11229620</v>
      </c>
      <c r="D237" s="26">
        <f>ROUND(VLOOKUP(A237,'Contribution Allocation_Report'!$A$9:$D$314,4,FALSE)*$D$315,0)</f>
        <v>15105343</v>
      </c>
      <c r="E237" s="26">
        <f>ROUND(VLOOKUP(A237,'Contribution Allocation_Report'!$A$9:$D$314,4,FALSE)*$E$315,0)</f>
        <v>19852733</v>
      </c>
      <c r="J237" s="51"/>
      <c r="K237" s="168"/>
    </row>
    <row r="238" spans="1:11">
      <c r="A238" s="10">
        <v>1002</v>
      </c>
      <c r="B238" s="11" t="s">
        <v>224</v>
      </c>
      <c r="C238" s="25">
        <f>ROUND(VLOOKUP(A238,'Contribution Allocation_Report'!$A$9:$D$314,4,FALSE)*$C$315,0)</f>
        <v>16839618</v>
      </c>
      <c r="D238" s="25">
        <f>ROUND(VLOOKUP(A238,'Contribution Allocation_Report'!$A$9:$D$314,4,FALSE)*$D$315,0)</f>
        <v>22651540</v>
      </c>
      <c r="E238" s="25">
        <f>ROUND(VLOOKUP(A238,'Contribution Allocation_Report'!$A$9:$D$314,4,FALSE)*$E$315,0)</f>
        <v>29770591</v>
      </c>
      <c r="J238" s="53"/>
      <c r="K238" s="168"/>
    </row>
    <row r="239" spans="1:11">
      <c r="A239" s="12">
        <v>4270</v>
      </c>
      <c r="B239" s="13" t="s">
        <v>413</v>
      </c>
      <c r="C239" s="26">
        <f>ROUND(VLOOKUP(A239,'Contribution Allocation_Report'!$A$9:$D$314,4,FALSE)*$C$315,0)</f>
        <v>401205</v>
      </c>
      <c r="D239" s="26">
        <f>ROUND(VLOOKUP(A239,'Contribution Allocation_Report'!$A$9:$D$314,4,FALSE)*$D$315,0)</f>
        <v>539675</v>
      </c>
      <c r="E239" s="26">
        <f>ROUND(VLOOKUP(A239,'Contribution Allocation_Report'!$A$9:$D$314,4,FALSE)*$E$315,0)</f>
        <v>709287</v>
      </c>
      <c r="J239" s="51"/>
      <c r="K239" s="168"/>
    </row>
    <row r="240" spans="1:11">
      <c r="A240" s="10">
        <v>24072</v>
      </c>
      <c r="B240" s="11" t="s">
        <v>225</v>
      </c>
      <c r="C240" s="25">
        <f>ROUND(VLOOKUP(A240,'Contribution Allocation_Report'!$A$9:$D$314,4,FALSE)*$C$315,0)</f>
        <v>1313383</v>
      </c>
      <c r="D240" s="25">
        <f>ROUND(VLOOKUP(A240,'Contribution Allocation_Report'!$A$9:$D$314,4,FALSE)*$D$315,0)</f>
        <v>1766676</v>
      </c>
      <c r="E240" s="25">
        <f>ROUND(VLOOKUP(A240,'Contribution Allocation_Report'!$A$9:$D$314,4,FALSE)*$E$315,0)</f>
        <v>2321917</v>
      </c>
      <c r="J240" s="53"/>
      <c r="K240" s="168"/>
    </row>
    <row r="241" spans="1:11">
      <c r="A241" s="12">
        <v>14366</v>
      </c>
      <c r="B241" s="13" t="s">
        <v>226</v>
      </c>
      <c r="C241" s="26">
        <f>ROUND(VLOOKUP(A241,'Contribution Allocation_Report'!$A$9:$D$314,4,FALSE)*$C$315,0)</f>
        <v>876584</v>
      </c>
      <c r="D241" s="26">
        <f>ROUND(VLOOKUP(A241,'Contribution Allocation_Report'!$A$9:$D$314,4,FALSE)*$D$315,0)</f>
        <v>1179123</v>
      </c>
      <c r="E241" s="26">
        <f>ROUND(VLOOKUP(A241,'Contribution Allocation_Report'!$A$9:$D$314,4,FALSE)*$E$315,0)</f>
        <v>1549705</v>
      </c>
      <c r="J241" s="51"/>
      <c r="K241" s="168"/>
    </row>
    <row r="242" spans="1:11">
      <c r="A242" s="10">
        <v>4317</v>
      </c>
      <c r="B242" s="11" t="s">
        <v>227</v>
      </c>
      <c r="C242" s="25">
        <f>ROUND(VLOOKUP(A242,'Contribution Allocation_Report'!$A$9:$D$314,4,FALSE)*$C$315,0)</f>
        <v>251057</v>
      </c>
      <c r="D242" s="25">
        <f>ROUND(VLOOKUP(A242,'Contribution Allocation_Report'!$A$9:$D$314,4,FALSE)*$D$315,0)</f>
        <v>337706</v>
      </c>
      <c r="E242" s="25">
        <f>ROUND(VLOOKUP(A242,'Contribution Allocation_Report'!$A$9:$D$314,4,FALSE)*$E$315,0)</f>
        <v>443842</v>
      </c>
      <c r="J242" s="53"/>
      <c r="K242" s="168"/>
    </row>
    <row r="243" spans="1:11">
      <c r="A243" s="12">
        <v>2433</v>
      </c>
      <c r="B243" s="13" t="s">
        <v>228</v>
      </c>
      <c r="C243" s="26">
        <f>ROUND(VLOOKUP(A243,'Contribution Allocation_Report'!$A$9:$D$314,4,FALSE)*$C$315,0)</f>
        <v>644344</v>
      </c>
      <c r="D243" s="26">
        <f>ROUND(VLOOKUP(A243,'Contribution Allocation_Report'!$A$9:$D$314,4,FALSE)*$D$315,0)</f>
        <v>866728</v>
      </c>
      <c r="E243" s="26">
        <f>ROUND(VLOOKUP(A243,'Contribution Allocation_Report'!$A$9:$D$314,4,FALSE)*$E$315,0)</f>
        <v>1139129</v>
      </c>
      <c r="J243" s="51"/>
      <c r="K243" s="168"/>
    </row>
    <row r="244" spans="1:11">
      <c r="A244" s="10">
        <v>3300</v>
      </c>
      <c r="B244" s="11" t="s">
        <v>229</v>
      </c>
      <c r="C244" s="25">
        <f>ROUND(VLOOKUP(A244,'Contribution Allocation_Report'!$A$9:$D$314,4,FALSE)*$C$315,0)</f>
        <v>784499</v>
      </c>
      <c r="D244" s="25">
        <f>ROUND(VLOOKUP(A244,'Contribution Allocation_Report'!$A$9:$D$314,4,FALSE)*$D$315,0)</f>
        <v>1055256</v>
      </c>
      <c r="E244" s="25">
        <f>ROUND(VLOOKUP(A244,'Contribution Allocation_Report'!$A$9:$D$314,4,FALSE)*$E$315,0)</f>
        <v>1386908</v>
      </c>
      <c r="J244" s="53"/>
      <c r="K244" s="168"/>
    </row>
    <row r="245" spans="1:11">
      <c r="A245" s="12">
        <v>8026</v>
      </c>
      <c r="B245" s="13" t="s">
        <v>230</v>
      </c>
      <c r="C245" s="26">
        <f>ROUND(VLOOKUP(A245,'Contribution Allocation_Report'!$A$9:$D$314,4,FALSE)*$C$315,0)</f>
        <v>3707918</v>
      </c>
      <c r="D245" s="26">
        <f>ROUND(VLOOKUP(A245,'Contribution Allocation_Report'!$A$9:$D$314,4,FALSE)*$D$315,0)</f>
        <v>4987646</v>
      </c>
      <c r="E245" s="26">
        <f>ROUND(VLOOKUP(A245,'Contribution Allocation_Report'!$A$9:$D$314,4,FALSE)*$E$315,0)</f>
        <v>6555190</v>
      </c>
      <c r="J245" s="51"/>
      <c r="K245" s="168"/>
    </row>
    <row r="246" spans="1:11">
      <c r="A246" s="10">
        <v>13438</v>
      </c>
      <c r="B246" s="11" t="s">
        <v>231</v>
      </c>
      <c r="C246" s="25">
        <f>ROUND(VLOOKUP(A246,'Contribution Allocation_Report'!$A$9:$D$314,4,FALSE)*$C$315,0)</f>
        <v>116859</v>
      </c>
      <c r="D246" s="25">
        <f>ROUND(VLOOKUP(A246,'Contribution Allocation_Report'!$A$9:$D$314,4,FALSE)*$D$315,0)</f>
        <v>157190</v>
      </c>
      <c r="E246" s="25">
        <f>ROUND(VLOOKUP(A246,'Contribution Allocation_Report'!$A$9:$D$314,4,FALSE)*$E$315,0)</f>
        <v>206593</v>
      </c>
      <c r="J246" s="53"/>
      <c r="K246" s="168"/>
    </row>
    <row r="247" spans="1:11">
      <c r="A247" s="12">
        <v>25076</v>
      </c>
      <c r="B247" s="13" t="s">
        <v>232</v>
      </c>
      <c r="C247" s="26">
        <f>ROUND(VLOOKUP(A247,'Contribution Allocation_Report'!$A$9:$D$314,4,FALSE)*$C$315,0)</f>
        <v>2151405</v>
      </c>
      <c r="D247" s="26">
        <f>ROUND(VLOOKUP(A247,'Contribution Allocation_Report'!$A$9:$D$314,4,FALSE)*$D$315,0)</f>
        <v>2893927</v>
      </c>
      <c r="E247" s="26">
        <f>ROUND(VLOOKUP(A247,'Contribution Allocation_Report'!$A$9:$D$314,4,FALSE)*$E$315,0)</f>
        <v>3803447</v>
      </c>
      <c r="J247" s="51"/>
      <c r="K247" s="168"/>
    </row>
    <row r="248" spans="1:11">
      <c r="A248" s="10">
        <v>2440</v>
      </c>
      <c r="B248" s="11" t="s">
        <v>396</v>
      </c>
      <c r="C248" s="25">
        <f>ROUND(VLOOKUP(A248,'Contribution Allocation_Report'!$A$9:$D$314,4,FALSE)*$C$315,0)</f>
        <v>494289</v>
      </c>
      <c r="D248" s="25">
        <f>ROUND(VLOOKUP(A248,'Contribution Allocation_Report'!$A$9:$D$314,4,FALSE)*$D$315,0)</f>
        <v>664886</v>
      </c>
      <c r="E248" s="25">
        <f>ROUND(VLOOKUP(A248,'Contribution Allocation_Report'!$A$9:$D$314,4,FALSE)*$E$315,0)</f>
        <v>873849</v>
      </c>
      <c r="J248" s="53"/>
      <c r="K248" s="168"/>
    </row>
    <row r="249" spans="1:11">
      <c r="A249" s="12">
        <v>2309</v>
      </c>
      <c r="B249" s="13" t="s">
        <v>233</v>
      </c>
      <c r="C249" s="26">
        <f>ROUND(VLOOKUP(A249,'Contribution Allocation_Report'!$A$9:$D$314,4,FALSE)*$C$315,0)</f>
        <v>965351</v>
      </c>
      <c r="D249" s="26">
        <f>ROUND(VLOOKUP(A249,'Contribution Allocation_Report'!$A$9:$D$314,4,FALSE)*$D$315,0)</f>
        <v>1298526</v>
      </c>
      <c r="E249" s="26">
        <f>ROUND(VLOOKUP(A249,'Contribution Allocation_Report'!$A$9:$D$314,4,FALSE)*$E$315,0)</f>
        <v>1706634</v>
      </c>
      <c r="J249" s="53"/>
      <c r="K249" s="168"/>
    </row>
    <row r="250" spans="1:11">
      <c r="A250" s="10">
        <v>2396</v>
      </c>
      <c r="B250" s="11" t="s">
        <v>234</v>
      </c>
      <c r="C250" s="25">
        <f>ROUND(VLOOKUP(A250,'Contribution Allocation_Report'!$A$9:$D$314,4,FALSE)*$C$315,0)</f>
        <v>176423</v>
      </c>
      <c r="D250" s="25">
        <f>ROUND(VLOOKUP(A250,'Contribution Allocation_Report'!$A$9:$D$314,4,FALSE)*$D$315,0)</f>
        <v>237312</v>
      </c>
      <c r="E250" s="25">
        <f>ROUND(VLOOKUP(A250,'Contribution Allocation_Report'!$A$9:$D$314,4,FALSE)*$E$315,0)</f>
        <v>311896</v>
      </c>
      <c r="J250" s="51"/>
      <c r="K250" s="168"/>
    </row>
    <row r="251" spans="1:11">
      <c r="A251" s="12" t="s">
        <v>721</v>
      </c>
      <c r="B251" s="13" t="s">
        <v>455</v>
      </c>
      <c r="C251" s="26">
        <f>ROUND(VLOOKUP(A251,'Contribution Allocation_Report'!$A$9:$D$314,4,FALSE)*$C$315,0)</f>
        <v>2082121</v>
      </c>
      <c r="D251" s="26">
        <f>ROUND(VLOOKUP(A251,'Contribution Allocation_Report'!$A$9:$D$314,4,FALSE)*$D$315,0)</f>
        <v>2800731</v>
      </c>
      <c r="E251" s="26">
        <f>ROUND(VLOOKUP(A251,'Contribution Allocation_Report'!$A$9:$D$314,4,FALSE)*$E$315,0)</f>
        <v>3680960</v>
      </c>
      <c r="J251" s="53"/>
      <c r="K251" s="168"/>
    </row>
    <row r="252" spans="1:11">
      <c r="A252" s="10">
        <v>3380</v>
      </c>
      <c r="B252" s="11" t="s">
        <v>235</v>
      </c>
      <c r="C252" s="25">
        <f>ROUND(VLOOKUP(A252,'Contribution Allocation_Report'!$A$9:$D$314,4,FALSE)*$C$315,0)</f>
        <v>186672</v>
      </c>
      <c r="D252" s="25">
        <f>ROUND(VLOOKUP(A252,'Contribution Allocation_Report'!$A$9:$D$314,4,FALSE)*$D$315,0)</f>
        <v>251098</v>
      </c>
      <c r="E252" s="25">
        <f>ROUND(VLOOKUP(A252,'Contribution Allocation_Report'!$A$9:$D$314,4,FALSE)*$E$315,0)</f>
        <v>330015</v>
      </c>
      <c r="J252" s="51"/>
      <c r="K252" s="168"/>
    </row>
    <row r="253" spans="1:11">
      <c r="A253" s="12">
        <v>2420</v>
      </c>
      <c r="B253" s="13" t="s">
        <v>236</v>
      </c>
      <c r="C253" s="26">
        <f>ROUND(VLOOKUP(A253,'Contribution Allocation_Report'!$A$9:$D$314,4,FALSE)*$C$315,0)</f>
        <v>313574</v>
      </c>
      <c r="D253" s="26">
        <f>ROUND(VLOOKUP(A253,'Contribution Allocation_Report'!$A$9:$D$314,4,FALSE)*$D$315,0)</f>
        <v>421799</v>
      </c>
      <c r="E253" s="26">
        <f>ROUND(VLOOKUP(A253,'Contribution Allocation_Report'!$A$9:$D$314,4,FALSE)*$E$315,0)</f>
        <v>554365</v>
      </c>
      <c r="J253" s="53"/>
      <c r="K253" s="168"/>
    </row>
    <row r="254" spans="1:11">
      <c r="A254" s="10">
        <v>2740</v>
      </c>
      <c r="B254" s="11" t="s">
        <v>237</v>
      </c>
      <c r="C254" s="25">
        <f>ROUND(VLOOKUP(A254,'Contribution Allocation_Report'!$A$9:$D$314,4,FALSE)*$C$315,0)</f>
        <v>37855</v>
      </c>
      <c r="D254" s="25">
        <f>ROUND(VLOOKUP(A254,'Contribution Allocation_Report'!$A$9:$D$314,4,FALSE)*$D$315,0)</f>
        <v>50920</v>
      </c>
      <c r="E254" s="25">
        <f>ROUND(VLOOKUP(A254,'Contribution Allocation_Report'!$A$9:$D$314,4,FALSE)*$E$315,0)</f>
        <v>66923</v>
      </c>
      <c r="J254" s="51"/>
      <c r="K254" s="168"/>
    </row>
    <row r="255" spans="1:11">
      <c r="A255" s="12">
        <v>2346</v>
      </c>
      <c r="B255" s="13" t="s">
        <v>915</v>
      </c>
      <c r="C255" s="26">
        <f>ROUND(VLOOKUP(A255,'Contribution Allocation_Report'!$A$9:$D$314,4,FALSE)*$C$315,0)</f>
        <v>208065</v>
      </c>
      <c r="D255" s="26">
        <f>ROUND(VLOOKUP(A255,'Contribution Allocation_Report'!$A$9:$D$314,4,FALSE)*$D$315,0)</f>
        <v>279876</v>
      </c>
      <c r="E255" s="26">
        <f>ROUND(VLOOKUP(A255,'Contribution Allocation_Report'!$A$9:$D$314,4,FALSE)*$E$315,0)</f>
        <v>367837</v>
      </c>
      <c r="J255" s="53"/>
      <c r="K255" s="168"/>
    </row>
    <row r="256" spans="1:11">
      <c r="A256" s="10">
        <v>21150</v>
      </c>
      <c r="B256" s="11" t="s">
        <v>239</v>
      </c>
      <c r="C256" s="25">
        <f>ROUND(VLOOKUP(A256,'Contribution Allocation_Report'!$A$9:$D$314,4,FALSE)*$C$315,0)</f>
        <v>748026</v>
      </c>
      <c r="D256" s="25">
        <f>ROUND(VLOOKUP(A256,'Contribution Allocation_Report'!$A$9:$D$314,4,FALSE)*$D$315,0)</f>
        <v>1006196</v>
      </c>
      <c r="E256" s="25">
        <f>ROUND(VLOOKUP(A256,'Contribution Allocation_Report'!$A$9:$D$314,4,FALSE)*$E$315,0)</f>
        <v>1322428</v>
      </c>
      <c r="J256" s="51"/>
      <c r="K256" s="168"/>
    </row>
    <row r="257" spans="1:11">
      <c r="A257" s="12">
        <v>4520</v>
      </c>
      <c r="B257" s="13" t="s">
        <v>241</v>
      </c>
      <c r="C257" s="26">
        <f>ROUND(VLOOKUP(A257,'Contribution Allocation_Report'!$A$9:$D$314,4,FALSE)*$C$315,0)</f>
        <v>29390</v>
      </c>
      <c r="D257" s="26">
        <f>ROUND(VLOOKUP(A257,'Contribution Allocation_Report'!$A$9:$D$314,4,FALSE)*$D$315,0)</f>
        <v>39533</v>
      </c>
      <c r="E257" s="26">
        <f>ROUND(VLOOKUP(A257,'Contribution Allocation_Report'!$A$9:$D$314,4,FALSE)*$E$315,0)</f>
        <v>51958</v>
      </c>
      <c r="J257" s="53"/>
      <c r="K257" s="168"/>
    </row>
    <row r="258" spans="1:11">
      <c r="A258" s="10">
        <v>9030</v>
      </c>
      <c r="B258" s="11" t="s">
        <v>242</v>
      </c>
      <c r="C258" s="25">
        <f>ROUND(VLOOKUP(A258,'Contribution Allocation_Report'!$A$9:$D$314,4,FALSE)*$C$315,0)</f>
        <v>303462</v>
      </c>
      <c r="D258" s="25">
        <f>ROUND(VLOOKUP(A258,'Contribution Allocation_Report'!$A$9:$D$314,4,FALSE)*$D$315,0)</f>
        <v>408197</v>
      </c>
      <c r="E258" s="25">
        <f>ROUND(VLOOKUP(A258,'Contribution Allocation_Report'!$A$9:$D$314,4,FALSE)*$E$315,0)</f>
        <v>536487</v>
      </c>
      <c r="J258" s="51"/>
      <c r="K258" s="168"/>
    </row>
    <row r="259" spans="1:11">
      <c r="A259" s="12">
        <v>20265</v>
      </c>
      <c r="B259" s="13" t="s">
        <v>243</v>
      </c>
      <c r="C259" s="26">
        <f>ROUND(VLOOKUP(A259,'Contribution Allocation_Report'!$A$9:$D$314,4,FALSE)*$C$315,0)</f>
        <v>432378</v>
      </c>
      <c r="D259" s="26">
        <f>ROUND(VLOOKUP(A259,'Contribution Allocation_Report'!$A$9:$D$314,4,FALSE)*$D$315,0)</f>
        <v>581607</v>
      </c>
      <c r="E259" s="26">
        <f>ROUND(VLOOKUP(A259,'Contribution Allocation_Report'!$A$9:$D$314,4,FALSE)*$E$315,0)</f>
        <v>764398</v>
      </c>
      <c r="J259" s="53"/>
      <c r="K259" s="168"/>
    </row>
    <row r="260" spans="1:11">
      <c r="A260" s="10">
        <v>20307</v>
      </c>
      <c r="B260" s="11" t="s">
        <v>244</v>
      </c>
      <c r="C260" s="25">
        <f>ROUND(VLOOKUP(A260,'Contribution Allocation_Report'!$A$9:$D$314,4,FALSE)*$C$315,0)</f>
        <v>341249</v>
      </c>
      <c r="D260" s="25">
        <f>ROUND(VLOOKUP(A260,'Contribution Allocation_Report'!$A$9:$D$314,4,FALSE)*$D$315,0)</f>
        <v>459025</v>
      </c>
      <c r="E260" s="25">
        <f>ROUND(VLOOKUP(A260,'Contribution Allocation_Report'!$A$9:$D$314,4,FALSE)*$E$315,0)</f>
        <v>603290</v>
      </c>
      <c r="J260" s="51"/>
      <c r="K260" s="168"/>
    </row>
    <row r="261" spans="1:11">
      <c r="A261" s="12">
        <v>3320</v>
      </c>
      <c r="B261" s="13" t="s">
        <v>245</v>
      </c>
      <c r="C261" s="26">
        <f>ROUND(VLOOKUP(A261,'Contribution Allocation_Report'!$A$9:$D$314,4,FALSE)*$C$315,0)</f>
        <v>2293028</v>
      </c>
      <c r="D261" s="26">
        <f>ROUND(VLOOKUP(A261,'Contribution Allocation_Report'!$A$9:$D$314,4,FALSE)*$D$315,0)</f>
        <v>3084429</v>
      </c>
      <c r="E261" s="26">
        <f>ROUND(VLOOKUP(A261,'Contribution Allocation_Report'!$A$9:$D$314,4,FALSE)*$E$315,0)</f>
        <v>4053820</v>
      </c>
      <c r="J261" s="53"/>
      <c r="K261" s="168"/>
    </row>
    <row r="262" spans="1:11">
      <c r="A262" s="10">
        <v>20415</v>
      </c>
      <c r="B262" s="11" t="s">
        <v>246</v>
      </c>
      <c r="C262" s="25">
        <f>ROUND(VLOOKUP(A262,'Contribution Allocation_Report'!$A$9:$D$314,4,FALSE)*$C$315,0)</f>
        <v>272844</v>
      </c>
      <c r="D262" s="25">
        <f>ROUND(VLOOKUP(A262,'Contribution Allocation_Report'!$A$9:$D$314,4,FALSE)*$D$315,0)</f>
        <v>367011</v>
      </c>
      <c r="E262" s="25">
        <f>ROUND(VLOOKUP(A262,'Contribution Allocation_Report'!$A$9:$D$314,4,FALSE)*$E$315,0)</f>
        <v>482357</v>
      </c>
      <c r="J262" s="51"/>
      <c r="K262" s="168"/>
    </row>
    <row r="263" spans="1:11">
      <c r="A263" s="12">
        <v>20435</v>
      </c>
      <c r="B263" s="13" t="s">
        <v>407</v>
      </c>
      <c r="C263" s="26">
        <f>ROUND(VLOOKUP(A263,'Contribution Allocation_Report'!$A$9:$D$314,4,FALSE)*$C$315,0)</f>
        <v>275608</v>
      </c>
      <c r="D263" s="26">
        <f>ROUND(VLOOKUP(A263,'Contribution Allocation_Report'!$A$9:$D$314,4,FALSE)*$D$315,0)</f>
        <v>370730</v>
      </c>
      <c r="E263" s="26">
        <f>ROUND(VLOOKUP(A263,'Contribution Allocation_Report'!$A$9:$D$314,4,FALSE)*$E$315,0)</f>
        <v>487245</v>
      </c>
      <c r="J263" s="53"/>
      <c r="K263" s="168"/>
    </row>
    <row r="264" spans="1:11">
      <c r="A264" s="10">
        <v>20062</v>
      </c>
      <c r="B264" s="11" t="s">
        <v>247</v>
      </c>
      <c r="C264" s="25">
        <f>ROUND(VLOOKUP(A264,'Contribution Allocation_Report'!$A$9:$D$314,4,FALSE)*$C$315,0)</f>
        <v>3011818</v>
      </c>
      <c r="D264" s="25">
        <f>ROUND(VLOOKUP(A264,'Contribution Allocation_Report'!$A$9:$D$314,4,FALSE)*$D$315,0)</f>
        <v>4051298</v>
      </c>
      <c r="E264" s="25">
        <f>ROUND(VLOOKUP(A264,'Contribution Allocation_Report'!$A$9:$D$314,4,FALSE)*$E$315,0)</f>
        <v>5324563</v>
      </c>
      <c r="J264" s="53"/>
      <c r="K264" s="168"/>
    </row>
    <row r="265" spans="1:11">
      <c r="A265" s="12">
        <v>3410</v>
      </c>
      <c r="B265" s="13" t="s">
        <v>457</v>
      </c>
      <c r="C265" s="26">
        <f>ROUND(VLOOKUP(A265,'Contribution Allocation_Report'!$A$9:$D$314,4,FALSE)*$C$315,0)</f>
        <v>84986</v>
      </c>
      <c r="D265" s="26">
        <f>ROUND(VLOOKUP(A265,'Contribution Allocation_Report'!$A$9:$D$314,4,FALSE)*$D$315,0)</f>
        <v>114317</v>
      </c>
      <c r="E265" s="26">
        <f>ROUND(VLOOKUP(A265,'Contribution Allocation_Report'!$A$9:$D$314,4,FALSE)*$E$315,0)</f>
        <v>150245</v>
      </c>
      <c r="J265" s="51"/>
      <c r="K265" s="168"/>
    </row>
    <row r="266" spans="1:11">
      <c r="A266" s="10">
        <v>6020</v>
      </c>
      <c r="B266" s="11" t="s">
        <v>248</v>
      </c>
      <c r="C266" s="25">
        <f>ROUND(VLOOKUP(A266,'Contribution Allocation_Report'!$A$9:$D$314,4,FALSE)*$C$315,0)</f>
        <v>624725</v>
      </c>
      <c r="D266" s="25">
        <f>ROUND(VLOOKUP(A266,'Contribution Allocation_Report'!$A$9:$D$314,4,FALSE)*$D$315,0)</f>
        <v>840339</v>
      </c>
      <c r="E266" s="25">
        <f>ROUND(VLOOKUP(A266,'Contribution Allocation_Report'!$A$9:$D$314,4,FALSE)*$E$315,0)</f>
        <v>1104445</v>
      </c>
      <c r="J266" s="53"/>
      <c r="K266" s="168"/>
    </row>
    <row r="267" spans="1:11">
      <c r="A267" s="12">
        <v>2394</v>
      </c>
      <c r="B267" s="13" t="s">
        <v>249</v>
      </c>
      <c r="C267" s="26">
        <f>ROUND(VLOOKUP(A267,'Contribution Allocation_Report'!$A$9:$D$314,4,FALSE)*$C$315,0)</f>
        <v>429707</v>
      </c>
      <c r="D267" s="26">
        <f>ROUND(VLOOKUP(A267,'Contribution Allocation_Report'!$A$9:$D$314,4,FALSE)*$D$315,0)</f>
        <v>578014</v>
      </c>
      <c r="E267" s="26">
        <f>ROUND(VLOOKUP(A267,'Contribution Allocation_Report'!$A$9:$D$314,4,FALSE)*$E$315,0)</f>
        <v>759676</v>
      </c>
      <c r="J267" s="51"/>
      <c r="K267" s="168"/>
    </row>
    <row r="268" spans="1:11">
      <c r="A268" s="10">
        <v>5015</v>
      </c>
      <c r="B268" s="11" t="s">
        <v>250</v>
      </c>
      <c r="C268" s="25">
        <f>ROUND(VLOOKUP(A268,'Contribution Allocation_Report'!$A$9:$D$314,4,FALSE)*$C$315,0)</f>
        <v>872156</v>
      </c>
      <c r="D268" s="25">
        <f>ROUND(VLOOKUP(A268,'Contribution Allocation_Report'!$A$9:$D$314,4,FALSE)*$D$315,0)</f>
        <v>1173166</v>
      </c>
      <c r="E268" s="25">
        <f>ROUND(VLOOKUP(A268,'Contribution Allocation_Report'!$A$9:$D$314,4,FALSE)*$E$315,0)</f>
        <v>1541875</v>
      </c>
      <c r="J268" s="53"/>
      <c r="K268" s="168"/>
    </row>
    <row r="269" spans="1:11">
      <c r="A269" s="12">
        <v>29408</v>
      </c>
      <c r="B269" s="13" t="s">
        <v>251</v>
      </c>
      <c r="C269" s="26">
        <f>ROUND(VLOOKUP(A269,'Contribution Allocation_Report'!$A$9:$D$314,4,FALSE)*$C$315,0)</f>
        <v>667248</v>
      </c>
      <c r="D269" s="26">
        <f>ROUND(VLOOKUP(A269,'Contribution Allocation_Report'!$A$9:$D$314,4,FALSE)*$D$315,0)</f>
        <v>897537</v>
      </c>
      <c r="E269" s="26">
        <f>ROUND(VLOOKUP(A269,'Contribution Allocation_Report'!$A$9:$D$314,4,FALSE)*$E$315,0)</f>
        <v>1179620</v>
      </c>
      <c r="J269" s="51"/>
      <c r="K269" s="168"/>
    </row>
    <row r="270" spans="1:11">
      <c r="A270" s="10">
        <v>2413</v>
      </c>
      <c r="B270" s="11" t="s">
        <v>252</v>
      </c>
      <c r="C270" s="25">
        <f>ROUND(VLOOKUP(A270,'Contribution Allocation_Report'!$A$9:$D$314,4,FALSE)*$C$315,0)</f>
        <v>86855</v>
      </c>
      <c r="D270" s="25">
        <f>ROUND(VLOOKUP(A270,'Contribution Allocation_Report'!$A$9:$D$314,4,FALSE)*$D$315,0)</f>
        <v>116831</v>
      </c>
      <c r="E270" s="25">
        <f>ROUND(VLOOKUP(A270,'Contribution Allocation_Report'!$A$9:$D$314,4,FALSE)*$E$315,0)</f>
        <v>153549</v>
      </c>
      <c r="J270" s="53"/>
      <c r="K270" s="168"/>
    </row>
    <row r="271" spans="1:11">
      <c r="A271" s="12">
        <v>1398</v>
      </c>
      <c r="B271" s="13" t="s">
        <v>253</v>
      </c>
      <c r="C271" s="26">
        <f>ROUND(VLOOKUP(A271,'Contribution Allocation_Report'!$A$9:$D$314,4,FALSE)*$C$315,0)</f>
        <v>460642</v>
      </c>
      <c r="D271" s="26">
        <f>ROUND(VLOOKUP(A271,'Contribution Allocation_Report'!$A$9:$D$314,4,FALSE)*$D$315,0)</f>
        <v>619625</v>
      </c>
      <c r="E271" s="26">
        <f>ROUND(VLOOKUP(A271,'Contribution Allocation_Report'!$A$9:$D$314,4,FALSE)*$E$315,0)</f>
        <v>814364</v>
      </c>
      <c r="J271" s="51"/>
      <c r="K271" s="168"/>
    </row>
    <row r="272" spans="1:11">
      <c r="A272" s="10">
        <v>2366</v>
      </c>
      <c r="B272" s="11" t="s">
        <v>254</v>
      </c>
      <c r="C272" s="25">
        <f>ROUND(VLOOKUP(A272,'Contribution Allocation_Report'!$A$9:$D$314,4,FALSE)*$C$315,0)</f>
        <v>202271</v>
      </c>
      <c r="D272" s="25">
        <f>ROUND(VLOOKUP(A272,'Contribution Allocation_Report'!$A$9:$D$314,4,FALSE)*$D$315,0)</f>
        <v>272082</v>
      </c>
      <c r="E272" s="25">
        <f>ROUND(VLOOKUP(A272,'Contribution Allocation_Report'!$A$9:$D$314,4,FALSE)*$E$315,0)</f>
        <v>357593</v>
      </c>
      <c r="J272" s="53"/>
      <c r="K272" s="168"/>
    </row>
    <row r="273" spans="1:11">
      <c r="A273" s="12">
        <v>7421</v>
      </c>
      <c r="B273" s="13" t="s">
        <v>255</v>
      </c>
      <c r="C273" s="26">
        <f>ROUND(VLOOKUP(A273,'Contribution Allocation_Report'!$A$9:$D$314,4,FALSE)*$C$315,0)</f>
        <v>246287</v>
      </c>
      <c r="D273" s="26">
        <f>ROUND(VLOOKUP(A273,'Contribution Allocation_Report'!$A$9:$D$314,4,FALSE)*$D$315,0)</f>
        <v>331289</v>
      </c>
      <c r="E273" s="26">
        <f>ROUND(VLOOKUP(A273,'Contribution Allocation_Report'!$A$9:$D$314,4,FALSE)*$E$315,0)</f>
        <v>435409</v>
      </c>
      <c r="J273" s="51"/>
      <c r="K273" s="168"/>
    </row>
    <row r="274" spans="1:11">
      <c r="A274" s="10">
        <v>1425</v>
      </c>
      <c r="B274" s="11" t="s">
        <v>431</v>
      </c>
      <c r="C274" s="25">
        <f>ROUND(VLOOKUP(A274,'Contribution Allocation_Report'!$A$9:$D$314,4,FALSE)*$C$315,0)</f>
        <v>431320</v>
      </c>
      <c r="D274" s="25">
        <f>ROUND(VLOOKUP(A274,'Contribution Allocation_Report'!$A$9:$D$314,4,FALSE)*$D$315,0)</f>
        <v>580184</v>
      </c>
      <c r="E274" s="25">
        <f>ROUND(VLOOKUP(A274,'Contribution Allocation_Report'!$A$9:$D$314,4,FALSE)*$E$315,0)</f>
        <v>762527</v>
      </c>
      <c r="J274" s="53"/>
      <c r="K274" s="168"/>
    </row>
    <row r="275" spans="1:11">
      <c r="A275" s="12">
        <v>2370</v>
      </c>
      <c r="B275" s="13" t="s">
        <v>256</v>
      </c>
      <c r="C275" s="26">
        <f>ROUND(VLOOKUP(A275,'Contribution Allocation_Report'!$A$9:$D$314,4,FALSE)*$C$315,0)</f>
        <v>333133</v>
      </c>
      <c r="D275" s="26">
        <f>ROUND(VLOOKUP(A275,'Contribution Allocation_Report'!$A$9:$D$314,4,FALSE)*$D$315,0)</f>
        <v>448109</v>
      </c>
      <c r="E275" s="26">
        <f>ROUND(VLOOKUP(A275,'Contribution Allocation_Report'!$A$9:$D$314,4,FALSE)*$E$315,0)</f>
        <v>588943</v>
      </c>
      <c r="J275" s="51"/>
      <c r="K275" s="168"/>
    </row>
    <row r="276" spans="1:11">
      <c r="A276" s="10">
        <v>1343</v>
      </c>
      <c r="B276" s="11" t="s">
        <v>257</v>
      </c>
      <c r="C276" s="25">
        <f>ROUND(VLOOKUP(A276,'Contribution Allocation_Report'!$A$9:$D$314,4,FALSE)*$C$315,0)</f>
        <v>402596</v>
      </c>
      <c r="D276" s="25">
        <f>ROUND(VLOOKUP(A276,'Contribution Allocation_Report'!$A$9:$D$314,4,FALSE)*$D$315,0)</f>
        <v>541546</v>
      </c>
      <c r="E276" s="25">
        <f>ROUND(VLOOKUP(A276,'Contribution Allocation_Report'!$A$9:$D$314,4,FALSE)*$E$315,0)</f>
        <v>711746</v>
      </c>
      <c r="J276" s="53"/>
      <c r="K276" s="168"/>
    </row>
    <row r="277" spans="1:11">
      <c r="A277" s="12">
        <v>2790</v>
      </c>
      <c r="B277" s="13" t="s">
        <v>258</v>
      </c>
      <c r="C277" s="26">
        <f>ROUND(VLOOKUP(A277,'Contribution Allocation_Report'!$A$9:$D$314,4,FALSE)*$C$315,0)</f>
        <v>43214</v>
      </c>
      <c r="D277" s="26">
        <f>ROUND(VLOOKUP(A277,'Contribution Allocation_Report'!$A$9:$D$314,4,FALSE)*$D$315,0)</f>
        <v>58129</v>
      </c>
      <c r="E277" s="26">
        <f>ROUND(VLOOKUP(A277,'Contribution Allocation_Report'!$A$9:$D$314,4,FALSE)*$E$315,0)</f>
        <v>76398</v>
      </c>
      <c r="J277" s="51"/>
      <c r="K277" s="168"/>
    </row>
    <row r="278" spans="1:11">
      <c r="A278" s="10">
        <v>3330</v>
      </c>
      <c r="B278" s="11" t="s">
        <v>259</v>
      </c>
      <c r="C278" s="25">
        <f>ROUND(VLOOKUP(A278,'Contribution Allocation_Report'!$A$9:$D$314,4,FALSE)*$C$315,0)</f>
        <v>938581</v>
      </c>
      <c r="D278" s="25">
        <f>ROUND(VLOOKUP(A278,'Contribution Allocation_Report'!$A$9:$D$314,4,FALSE)*$D$315,0)</f>
        <v>1262517</v>
      </c>
      <c r="E278" s="25">
        <f>ROUND(VLOOKUP(A278,'Contribution Allocation_Report'!$A$9:$D$314,4,FALSE)*$E$315,0)</f>
        <v>1659308</v>
      </c>
      <c r="J278" s="53"/>
      <c r="K278" s="168"/>
    </row>
    <row r="279" spans="1:11">
      <c r="A279" s="12">
        <v>2080</v>
      </c>
      <c r="B279" s="13" t="s">
        <v>260</v>
      </c>
      <c r="C279" s="26">
        <f>ROUND(VLOOKUP(A279,'Contribution Allocation_Report'!$A$9:$D$314,4,FALSE)*$C$315,0)</f>
        <v>1142473</v>
      </c>
      <c r="D279" s="26">
        <f>ROUND(VLOOKUP(A279,'Contribution Allocation_Report'!$A$9:$D$314,4,FALSE)*$D$315,0)</f>
        <v>1536779</v>
      </c>
      <c r="E279" s="26">
        <f>ROUND(VLOOKUP(A279,'Contribution Allocation_Report'!$A$9:$D$314,4,FALSE)*$E$315,0)</f>
        <v>2019767</v>
      </c>
      <c r="J279" s="51"/>
      <c r="K279" s="168"/>
    </row>
    <row r="280" spans="1:11">
      <c r="A280" s="10">
        <v>4290</v>
      </c>
      <c r="B280" s="11" t="s">
        <v>261</v>
      </c>
      <c r="C280" s="25">
        <f>ROUND(VLOOKUP(A280,'Contribution Allocation_Report'!$A$9:$D$314,4,FALSE)*$C$315,0)</f>
        <v>699428</v>
      </c>
      <c r="D280" s="25">
        <f>ROUND(VLOOKUP(A280,'Contribution Allocation_Report'!$A$9:$D$314,4,FALSE)*$D$315,0)</f>
        <v>940824</v>
      </c>
      <c r="E280" s="25">
        <f>ROUND(VLOOKUP(A280,'Contribution Allocation_Report'!$A$9:$D$314,4,FALSE)*$E$315,0)</f>
        <v>1236511</v>
      </c>
      <c r="J280" s="53"/>
      <c r="K280" s="168"/>
    </row>
    <row r="281" spans="1:11">
      <c r="A281" s="12">
        <v>2270</v>
      </c>
      <c r="B281" s="13" t="s">
        <v>262</v>
      </c>
      <c r="C281" s="26">
        <f>ROUND(VLOOKUP(A281,'Contribution Allocation_Report'!$A$9:$D$314,4,FALSE)*$C$315,0)</f>
        <v>16333</v>
      </c>
      <c r="D281" s="26">
        <f>ROUND(VLOOKUP(A281,'Contribution Allocation_Report'!$A$9:$D$314,4,FALSE)*$D$315,0)</f>
        <v>21970</v>
      </c>
      <c r="E281" s="26">
        <f>ROUND(VLOOKUP(A281,'Contribution Allocation_Report'!$A$9:$D$314,4,FALSE)*$E$315,0)</f>
        <v>28875</v>
      </c>
      <c r="J281" s="51"/>
      <c r="K281" s="168"/>
    </row>
    <row r="282" spans="1:11">
      <c r="A282" s="10">
        <v>2300</v>
      </c>
      <c r="B282" s="11" t="s">
        <v>263</v>
      </c>
      <c r="C282" s="25">
        <f>ROUND(VLOOKUP(A282,'Contribution Allocation_Report'!$A$9:$D$314,4,FALSE)*$C$315,0)</f>
        <v>160960</v>
      </c>
      <c r="D282" s="25">
        <f>ROUND(VLOOKUP(A282,'Contribution Allocation_Report'!$A$9:$D$314,4,FALSE)*$D$315,0)</f>
        <v>216513</v>
      </c>
      <c r="E282" s="25">
        <f>ROUND(VLOOKUP(A282,'Contribution Allocation_Report'!$A$9:$D$314,4,FALSE)*$E$315,0)</f>
        <v>284560</v>
      </c>
      <c r="J282" s="53"/>
      <c r="K282" s="168"/>
    </row>
    <row r="283" spans="1:11">
      <c r="A283" s="12">
        <v>2720</v>
      </c>
      <c r="B283" s="13" t="s">
        <v>264</v>
      </c>
      <c r="C283" s="26">
        <f>ROUND(VLOOKUP(A283,'Contribution Allocation_Report'!$A$9:$D$314,4,FALSE)*$C$315,0)</f>
        <v>1503878</v>
      </c>
      <c r="D283" s="26">
        <f>ROUND(VLOOKUP(A283,'Contribution Allocation_Report'!$A$9:$D$314,4,FALSE)*$D$315,0)</f>
        <v>2022917</v>
      </c>
      <c r="E283" s="26">
        <f>ROUND(VLOOKUP(A283,'Contribution Allocation_Report'!$A$9:$D$314,4,FALSE)*$E$315,0)</f>
        <v>2658691</v>
      </c>
      <c r="J283" s="51"/>
      <c r="K283" s="168"/>
    </row>
    <row r="284" spans="1:11">
      <c r="A284" s="10">
        <v>2750</v>
      </c>
      <c r="B284" s="11" t="s">
        <v>265</v>
      </c>
      <c r="C284" s="25">
        <f>ROUND(VLOOKUP(A284,'Contribution Allocation_Report'!$A$9:$D$314,4,FALSE)*$C$315,0)</f>
        <v>98358</v>
      </c>
      <c r="D284" s="25">
        <f>ROUND(VLOOKUP(A284,'Contribution Allocation_Report'!$A$9:$D$314,4,FALSE)*$D$315,0)</f>
        <v>132304</v>
      </c>
      <c r="E284" s="25">
        <f>ROUND(VLOOKUP(A284,'Contribution Allocation_Report'!$A$9:$D$314,4,FALSE)*$E$315,0)</f>
        <v>173886</v>
      </c>
      <c r="J284" s="53"/>
      <c r="K284" s="168"/>
    </row>
    <row r="285" spans="1:11">
      <c r="A285" s="12">
        <v>2770</v>
      </c>
      <c r="B285" s="13" t="s">
        <v>266</v>
      </c>
      <c r="C285" s="26">
        <f>ROUND(VLOOKUP(A285,'Contribution Allocation_Report'!$A$9:$D$314,4,FALSE)*$C$315,0)</f>
        <v>1426086</v>
      </c>
      <c r="D285" s="26">
        <f>ROUND(VLOOKUP(A285,'Contribution Allocation_Report'!$A$9:$D$314,4,FALSE)*$D$315,0)</f>
        <v>1918277</v>
      </c>
      <c r="E285" s="26">
        <f>ROUND(VLOOKUP(A285,'Contribution Allocation_Report'!$A$9:$D$314,4,FALSE)*$E$315,0)</f>
        <v>2521163</v>
      </c>
      <c r="J285" s="51"/>
      <c r="K285" s="168"/>
    </row>
    <row r="286" spans="1:11">
      <c r="A286" s="10">
        <v>32106</v>
      </c>
      <c r="B286" s="11" t="s">
        <v>267</v>
      </c>
      <c r="C286" s="25">
        <f>ROUND(VLOOKUP(A286,'Contribution Allocation_Report'!$A$9:$D$314,4,FALSE)*$C$315,0)</f>
        <v>107932</v>
      </c>
      <c r="D286" s="25">
        <f>ROUND(VLOOKUP(A286,'Contribution Allocation_Report'!$A$9:$D$314,4,FALSE)*$D$315,0)</f>
        <v>145184</v>
      </c>
      <c r="E286" s="25">
        <f>ROUND(VLOOKUP(A286,'Contribution Allocation_Report'!$A$9:$D$314,4,FALSE)*$E$315,0)</f>
        <v>190813</v>
      </c>
      <c r="J286" s="53"/>
      <c r="K286" s="168"/>
    </row>
    <row r="287" spans="1:11">
      <c r="A287" s="12">
        <v>4180</v>
      </c>
      <c r="B287" s="13" t="s">
        <v>268</v>
      </c>
      <c r="C287" s="26">
        <f>ROUND(VLOOKUP(A287,'Contribution Allocation_Report'!$A$9:$D$314,4,FALSE)*$C$315,0)</f>
        <v>148638</v>
      </c>
      <c r="D287" s="26">
        <f>ROUND(VLOOKUP(A287,'Contribution Allocation_Report'!$A$9:$D$314,4,FALSE)*$D$315,0)</f>
        <v>199937</v>
      </c>
      <c r="E287" s="26">
        <f>ROUND(VLOOKUP(A287,'Contribution Allocation_Report'!$A$9:$D$314,4,FALSE)*$E$315,0)</f>
        <v>262775</v>
      </c>
      <c r="J287" s="51"/>
      <c r="K287" s="168"/>
    </row>
    <row r="288" spans="1:11">
      <c r="A288" s="10">
        <v>21063</v>
      </c>
      <c r="B288" s="11" t="s">
        <v>269</v>
      </c>
      <c r="C288" s="25">
        <f>ROUND(VLOOKUP(A288,'Contribution Allocation_Report'!$A$9:$D$314,4,FALSE)*$C$315,0)</f>
        <v>2224571</v>
      </c>
      <c r="D288" s="25">
        <f>ROUND(VLOOKUP(A288,'Contribution Allocation_Report'!$A$9:$D$314,4,FALSE)*$D$315,0)</f>
        <v>2992346</v>
      </c>
      <c r="E288" s="25">
        <f>ROUND(VLOOKUP(A288,'Contribution Allocation_Report'!$A$9:$D$314,4,FALSE)*$E$315,0)</f>
        <v>3932797</v>
      </c>
      <c r="J288" s="53"/>
      <c r="K288" s="168"/>
    </row>
    <row r="289" spans="1:11">
      <c r="A289" s="12">
        <v>10033</v>
      </c>
      <c r="B289" s="13" t="s">
        <v>270</v>
      </c>
      <c r="C289" s="26">
        <f>ROUND(VLOOKUP(A289,'Contribution Allocation_Report'!$A$9:$D$314,4,FALSE)*$C$315,0)</f>
        <v>1427963</v>
      </c>
      <c r="D289" s="26">
        <f>ROUND(VLOOKUP(A289,'Contribution Allocation_Report'!$A$9:$D$314,4,FALSE)*$D$315,0)</f>
        <v>1920802</v>
      </c>
      <c r="E289" s="26">
        <f>ROUND(VLOOKUP(A289,'Contribution Allocation_Report'!$A$9:$D$314,4,FALSE)*$E$315,0)</f>
        <v>2524482</v>
      </c>
      <c r="J289" s="51"/>
      <c r="K289" s="168"/>
    </row>
    <row r="290" spans="1:11">
      <c r="A290" s="10">
        <v>15049</v>
      </c>
      <c r="B290" s="11" t="s">
        <v>271</v>
      </c>
      <c r="C290" s="25">
        <f>ROUND(VLOOKUP(A290,'Contribution Allocation_Report'!$A$9:$D$314,4,FALSE)*$C$315,0)</f>
        <v>1570756</v>
      </c>
      <c r="D290" s="25">
        <f>ROUND(VLOOKUP(A290,'Contribution Allocation_Report'!$A$9:$D$314,4,FALSE)*$D$315,0)</f>
        <v>2112877</v>
      </c>
      <c r="E290" s="25">
        <f>ROUND(VLOOKUP(A290,'Contribution Allocation_Report'!$A$9:$D$314,4,FALSE)*$E$315,0)</f>
        <v>2776923</v>
      </c>
      <c r="J290" s="53"/>
      <c r="K290" s="168"/>
    </row>
    <row r="291" spans="1:11">
      <c r="A291" s="12">
        <v>1315</v>
      </c>
      <c r="B291" s="13" t="s">
        <v>272</v>
      </c>
      <c r="C291" s="26">
        <f>ROUND(VLOOKUP(A291,'Contribution Allocation_Report'!$A$9:$D$314,4,FALSE)*$C$315,0)</f>
        <v>903952</v>
      </c>
      <c r="D291" s="26">
        <f>ROUND(VLOOKUP(A291,'Contribution Allocation_Report'!$A$9:$D$314,4,FALSE)*$D$315,0)</f>
        <v>1215936</v>
      </c>
      <c r="E291" s="26">
        <f>ROUND(VLOOKUP(A291,'Contribution Allocation_Report'!$A$9:$D$314,4,FALSE)*$E$315,0)</f>
        <v>1598087</v>
      </c>
      <c r="J291" s="51"/>
      <c r="K291" s="168"/>
    </row>
    <row r="292" spans="1:11">
      <c r="A292" s="12">
        <v>3340</v>
      </c>
      <c r="B292" s="43" t="s">
        <v>273</v>
      </c>
      <c r="C292" s="67">
        <f>ROUND(VLOOKUP(A292,'Contribution Allocation_Report'!$A$9:$D$314,4,FALSE)*$C$315,0)</f>
        <v>303180</v>
      </c>
      <c r="D292" s="67">
        <f>ROUND(VLOOKUP(A292,'Contribution Allocation_Report'!$A$9:$D$314,4,FALSE)*$D$315,0)</f>
        <v>407818</v>
      </c>
      <c r="E292" s="67">
        <f>ROUND(VLOOKUP(A292,'Contribution Allocation_Report'!$A$9:$D$314,4,FALSE)*$E$315,0)</f>
        <v>535990</v>
      </c>
      <c r="J292" s="53"/>
      <c r="K292" s="168"/>
    </row>
    <row r="293" spans="1:11">
      <c r="A293" s="10">
        <v>3350</v>
      </c>
      <c r="B293" s="11" t="s">
        <v>274</v>
      </c>
      <c r="C293" s="25">
        <f>ROUND(VLOOKUP(A293,'Contribution Allocation_Report'!$A$9:$D$314,4,FALSE)*$C$315,0)</f>
        <v>2763884</v>
      </c>
      <c r="D293" s="25">
        <f>ROUND(VLOOKUP(A293,'Contribution Allocation_Report'!$A$9:$D$314,4,FALSE)*$D$315,0)</f>
        <v>3717794</v>
      </c>
      <c r="E293" s="25">
        <f>ROUND(VLOOKUP(A293,'Contribution Allocation_Report'!$A$9:$D$314,4,FALSE)*$E$315,0)</f>
        <v>4886243</v>
      </c>
      <c r="J293" s="51"/>
      <c r="K293" s="168"/>
    </row>
    <row r="294" spans="1:11">
      <c r="A294" s="12">
        <v>24073</v>
      </c>
      <c r="B294" s="13" t="s">
        <v>275</v>
      </c>
      <c r="C294" s="26">
        <f>ROUND(VLOOKUP(A294,'Contribution Allocation_Report'!$A$9:$D$314,4,FALSE)*$C$315,0)</f>
        <v>310093</v>
      </c>
      <c r="D294" s="26">
        <f>ROUND(VLOOKUP(A294,'Contribution Allocation_Report'!$A$9:$D$314,4,FALSE)*$D$315,0)</f>
        <v>417116</v>
      </c>
      <c r="E294" s="26">
        <f>ROUND(VLOOKUP(A294,'Contribution Allocation_Report'!$A$9:$D$314,4,FALSE)*$E$315,0)</f>
        <v>548209</v>
      </c>
      <c r="J294" s="53"/>
      <c r="K294" s="168"/>
    </row>
    <row r="295" spans="1:11">
      <c r="A295" s="10">
        <v>2100</v>
      </c>
      <c r="B295" s="11" t="s">
        <v>276</v>
      </c>
      <c r="C295" s="25">
        <f>ROUND(VLOOKUP(A295,'Contribution Allocation_Report'!$A$9:$D$314,4,FALSE)*$C$315,0)</f>
        <v>278689</v>
      </c>
      <c r="D295" s="25">
        <f>ROUND(VLOOKUP(A295,'Contribution Allocation_Report'!$A$9:$D$314,4,FALSE)*$D$315,0)</f>
        <v>374874</v>
      </c>
      <c r="E295" s="25">
        <f>ROUND(VLOOKUP(A295,'Contribution Allocation_Report'!$A$9:$D$314,4,FALSE)*$E$315,0)</f>
        <v>492692</v>
      </c>
      <c r="J295" s="51"/>
      <c r="K295" s="168"/>
    </row>
    <row r="296" spans="1:11">
      <c r="A296" s="12">
        <v>2130</v>
      </c>
      <c r="B296" s="13" t="s">
        <v>277</v>
      </c>
      <c r="C296" s="26">
        <f>ROUND(VLOOKUP(A296,'Contribution Allocation_Report'!$A$9:$D$314,4,FALSE)*$C$315,0)</f>
        <v>71989</v>
      </c>
      <c r="D296" s="26">
        <f>ROUND(VLOOKUP(A296,'Contribution Allocation_Report'!$A$9:$D$314,4,FALSE)*$D$315,0)</f>
        <v>96835</v>
      </c>
      <c r="E296" s="26">
        <f>ROUND(VLOOKUP(A296,'Contribution Allocation_Report'!$A$9:$D$314,4,FALSE)*$E$315,0)</f>
        <v>127269</v>
      </c>
      <c r="J296" s="53"/>
      <c r="K296" s="168"/>
    </row>
    <row r="297" spans="1:11">
      <c r="A297" s="10">
        <v>32099</v>
      </c>
      <c r="B297" s="11" t="s">
        <v>278</v>
      </c>
      <c r="C297" s="25">
        <f>ROUND(VLOOKUP(A297,'Contribution Allocation_Report'!$A$9:$D$314,4,FALSE)*$C$315,0)</f>
        <v>130504</v>
      </c>
      <c r="D297" s="25">
        <f>ROUND(VLOOKUP(A297,'Contribution Allocation_Report'!$A$9:$D$314,4,FALSE)*$D$315,0)</f>
        <v>175545</v>
      </c>
      <c r="E297" s="25">
        <f>ROUND(VLOOKUP(A297,'Contribution Allocation_Report'!$A$9:$D$314,4,FALSE)*$E$315,0)</f>
        <v>230716</v>
      </c>
      <c r="J297" s="51"/>
      <c r="K297" s="168"/>
    </row>
    <row r="298" spans="1:11">
      <c r="A298" s="12">
        <v>32100</v>
      </c>
      <c r="B298" s="13" t="s">
        <v>279</v>
      </c>
      <c r="C298" s="26">
        <f>ROUND(VLOOKUP(A298,'Contribution Allocation_Report'!$A$9:$D$314,4,FALSE)*$C$315,0)</f>
        <v>204396</v>
      </c>
      <c r="D298" s="26">
        <f>ROUND(VLOOKUP(A298,'Contribution Allocation_Report'!$A$9:$D$314,4,FALSE)*$D$315,0)</f>
        <v>274940</v>
      </c>
      <c r="E298" s="26">
        <f>ROUND(VLOOKUP(A298,'Contribution Allocation_Report'!$A$9:$D$314,4,FALSE)*$E$315,0)</f>
        <v>361349</v>
      </c>
      <c r="J298" s="53"/>
      <c r="K298" s="168"/>
    </row>
    <row r="299" spans="1:11">
      <c r="A299" s="10">
        <v>32101</v>
      </c>
      <c r="B299" s="11" t="s">
        <v>280</v>
      </c>
      <c r="C299" s="25">
        <f>ROUND(VLOOKUP(A299,'Contribution Allocation_Report'!$A$9:$D$314,4,FALSE)*$C$315,0)</f>
        <v>67475</v>
      </c>
      <c r="D299" s="25">
        <f>ROUND(VLOOKUP(A299,'Contribution Allocation_Report'!$A$9:$D$314,4,FALSE)*$D$315,0)</f>
        <v>90763</v>
      </c>
      <c r="E299" s="25">
        <f>ROUND(VLOOKUP(A299,'Contribution Allocation_Report'!$A$9:$D$314,4,FALSE)*$E$315,0)</f>
        <v>119288</v>
      </c>
      <c r="J299" s="51"/>
      <c r="K299" s="168"/>
    </row>
    <row r="300" spans="1:11">
      <c r="A300" s="12">
        <v>32102</v>
      </c>
      <c r="B300" s="13" t="s">
        <v>281</v>
      </c>
      <c r="C300" s="26">
        <f>ROUND(VLOOKUP(A300,'Contribution Allocation_Report'!$A$9:$D$314,4,FALSE)*$C$315,0)</f>
        <v>130256</v>
      </c>
      <c r="D300" s="26">
        <f>ROUND(VLOOKUP(A300,'Contribution Allocation_Report'!$A$9:$D$314,4,FALSE)*$D$315,0)</f>
        <v>175212</v>
      </c>
      <c r="E300" s="26">
        <f>ROUND(VLOOKUP(A300,'Contribution Allocation_Report'!$A$9:$D$314,4,FALSE)*$E$315,0)</f>
        <v>230279</v>
      </c>
      <c r="J300" s="53"/>
      <c r="K300" s="168"/>
    </row>
    <row r="301" spans="1:11">
      <c r="A301" s="10">
        <v>2880</v>
      </c>
      <c r="B301" s="11" t="s">
        <v>282</v>
      </c>
      <c r="C301" s="25">
        <f>ROUND(VLOOKUP(A301,'Contribution Allocation_Report'!$A$9:$D$314,4,FALSE)*$C$315,0)</f>
        <v>33247</v>
      </c>
      <c r="D301" s="25">
        <f>ROUND(VLOOKUP(A301,'Contribution Allocation_Report'!$A$9:$D$314,4,FALSE)*$D$315,0)</f>
        <v>44721</v>
      </c>
      <c r="E301" s="25">
        <f>ROUND(VLOOKUP(A301,'Contribution Allocation_Report'!$A$9:$D$314,4,FALSE)*$E$315,0)</f>
        <v>58777</v>
      </c>
      <c r="J301" s="51"/>
      <c r="K301" s="168"/>
    </row>
    <row r="302" spans="1:11">
      <c r="A302" s="12">
        <v>2490</v>
      </c>
      <c r="B302" s="13" t="s">
        <v>283</v>
      </c>
      <c r="C302" s="26">
        <f>ROUND(VLOOKUP(A302,'Contribution Allocation_Report'!$A$9:$D$314,4,FALSE)*$C$315,0)</f>
        <v>366627</v>
      </c>
      <c r="D302" s="26">
        <f>ROUND(VLOOKUP(A302,'Contribution Allocation_Report'!$A$9:$D$314,4,FALSE)*$D$315,0)</f>
        <v>493163</v>
      </c>
      <c r="E302" s="26">
        <f>ROUND(VLOOKUP(A302,'Contribution Allocation_Report'!$A$9:$D$314,4,FALSE)*$E$315,0)</f>
        <v>648157</v>
      </c>
      <c r="J302" s="53"/>
      <c r="K302" s="168"/>
    </row>
    <row r="303" spans="1:11">
      <c r="A303" s="10">
        <v>2530</v>
      </c>
      <c r="B303" s="11" t="s">
        <v>284</v>
      </c>
      <c r="C303" s="25">
        <f>ROUND(VLOOKUP(A303,'Contribution Allocation_Report'!$A$9:$D$314,4,FALSE)*$C$315,0)</f>
        <v>78628</v>
      </c>
      <c r="D303" s="25">
        <f>ROUND(VLOOKUP(A303,'Contribution Allocation_Report'!$A$9:$D$314,4,FALSE)*$D$315,0)</f>
        <v>105766</v>
      </c>
      <c r="E303" s="25">
        <f>ROUND(VLOOKUP(A303,'Contribution Allocation_Report'!$A$9:$D$314,4,FALSE)*$E$315,0)</f>
        <v>139006</v>
      </c>
      <c r="J303" s="51"/>
      <c r="K303" s="168"/>
    </row>
    <row r="304" spans="1:11">
      <c r="A304" s="12">
        <v>2560</v>
      </c>
      <c r="B304" s="13" t="s">
        <v>285</v>
      </c>
      <c r="C304" s="26">
        <f>ROUND(VLOOKUP(A304,'Contribution Allocation_Report'!$A$9:$D$314,4,FALSE)*$C$315,0)</f>
        <v>181995</v>
      </c>
      <c r="D304" s="26">
        <f>ROUND(VLOOKUP(A304,'Contribution Allocation_Report'!$A$9:$D$314,4,FALSE)*$D$315,0)</f>
        <v>244808</v>
      </c>
      <c r="E304" s="26">
        <f>ROUND(VLOOKUP(A304,'Contribution Allocation_Report'!$A$9:$D$314,4,FALSE)*$E$315,0)</f>
        <v>321748</v>
      </c>
      <c r="J304" s="53"/>
      <c r="K304" s="168"/>
    </row>
    <row r="305" spans="1:11">
      <c r="A305" s="10">
        <v>2610</v>
      </c>
      <c r="B305" s="11" t="s">
        <v>286</v>
      </c>
      <c r="C305" s="25">
        <f>ROUND(VLOOKUP(A305,'Contribution Allocation_Report'!$A$9:$D$314,4,FALSE)*$C$315,0)</f>
        <v>36916</v>
      </c>
      <c r="D305" s="25">
        <f>ROUND(VLOOKUP(A305,'Contribution Allocation_Report'!$A$9:$D$314,4,FALSE)*$D$315,0)</f>
        <v>49657</v>
      </c>
      <c r="E305" s="25">
        <f>ROUND(VLOOKUP(A305,'Contribution Allocation_Report'!$A$9:$D$314,4,FALSE)*$E$315,0)</f>
        <v>65264</v>
      </c>
      <c r="J305" s="51"/>
      <c r="K305" s="168"/>
    </row>
    <row r="306" spans="1:11">
      <c r="A306" s="12">
        <v>2800</v>
      </c>
      <c r="B306" s="13" t="s">
        <v>287</v>
      </c>
      <c r="C306" s="26">
        <f>ROUND(VLOOKUP(A306,'Contribution Allocation_Report'!$A$9:$D$314,4,FALSE)*$C$315,0)</f>
        <v>99151</v>
      </c>
      <c r="D306" s="26">
        <f>ROUND(VLOOKUP(A306,'Contribution Allocation_Report'!$A$9:$D$314,4,FALSE)*$D$315,0)</f>
        <v>133372</v>
      </c>
      <c r="E306" s="26">
        <f>ROUND(VLOOKUP(A306,'Contribution Allocation_Report'!$A$9:$D$314,4,FALSE)*$E$315,0)</f>
        <v>175289</v>
      </c>
      <c r="J306" s="53"/>
      <c r="K306" s="168"/>
    </row>
    <row r="307" spans="1:11">
      <c r="A307" s="10">
        <v>20317</v>
      </c>
      <c r="B307" s="11" t="s">
        <v>288</v>
      </c>
      <c r="C307" s="25">
        <f>ROUND(VLOOKUP(A307,'Contribution Allocation_Report'!$A$9:$D$314,4,FALSE)*$C$315,0)</f>
        <v>173368</v>
      </c>
      <c r="D307" s="25">
        <f>ROUND(VLOOKUP(A307,'Contribution Allocation_Report'!$A$9:$D$314,4,FALSE)*$D$315,0)</f>
        <v>233203</v>
      </c>
      <c r="E307" s="25">
        <f>ROUND(VLOOKUP(A307,'Contribution Allocation_Report'!$A$9:$D$314,4,FALSE)*$E$315,0)</f>
        <v>306495</v>
      </c>
      <c r="J307" s="51"/>
      <c r="K307" s="168"/>
    </row>
    <row r="308" spans="1:11">
      <c r="A308" s="12">
        <v>2442</v>
      </c>
      <c r="B308" s="13" t="s">
        <v>415</v>
      </c>
      <c r="C308" s="26">
        <f>ROUND(VLOOKUP(A308,'Contribution Allocation_Report'!$A$9:$D$314,4,FALSE)*$C$315,0)</f>
        <v>211351</v>
      </c>
      <c r="D308" s="26">
        <f>ROUND(VLOOKUP(A308,'Contribution Allocation_Report'!$A$9:$D$314,4,FALSE)*$D$315,0)</f>
        <v>284295</v>
      </c>
      <c r="E308" s="26">
        <f>ROUND(VLOOKUP(A308,'Contribution Allocation_Report'!$A$9:$D$314,4,FALSE)*$E$315,0)</f>
        <v>373645</v>
      </c>
      <c r="J308" s="53"/>
      <c r="K308" s="168"/>
    </row>
    <row r="309" spans="1:11">
      <c r="A309" s="10">
        <v>30090</v>
      </c>
      <c r="B309" s="11" t="s">
        <v>289</v>
      </c>
      <c r="C309" s="25">
        <f>ROUND(VLOOKUP(A309,'Contribution Allocation_Report'!$A$9:$D$314,4,FALSE)*$C$315,0)</f>
        <v>264822</v>
      </c>
      <c r="D309" s="25">
        <f>ROUND(VLOOKUP(A309,'Contribution Allocation_Report'!$A$9:$D$314,4,FALSE)*$D$315,0)</f>
        <v>356221</v>
      </c>
      <c r="E309" s="25">
        <f>ROUND(VLOOKUP(A309,'Contribution Allocation_Report'!$A$9:$D$314,4,FALSE)*$E$315,0)</f>
        <v>468176</v>
      </c>
      <c r="J309" s="51"/>
      <c r="K309" s="168"/>
    </row>
    <row r="310" spans="1:11">
      <c r="A310" s="12">
        <v>29330</v>
      </c>
      <c r="B310" s="13" t="s">
        <v>290</v>
      </c>
      <c r="C310" s="26">
        <f>ROUND(VLOOKUP(A310,'Contribution Allocation_Report'!$A$9:$D$314,4,FALSE)*$C$315,0)</f>
        <v>158170</v>
      </c>
      <c r="D310" s="26">
        <f>ROUND(VLOOKUP(A310,'Contribution Allocation_Report'!$A$9:$D$314,4,FALSE)*$D$315,0)</f>
        <v>212759</v>
      </c>
      <c r="E310" s="26">
        <f>ROUND(VLOOKUP(A310,'Contribution Allocation_Report'!$A$9:$D$314,4,FALSE)*$E$315,0)</f>
        <v>279626</v>
      </c>
      <c r="J310" s="53"/>
      <c r="K310" s="168"/>
    </row>
    <row r="311" spans="1:11">
      <c r="A311" s="10">
        <v>12038</v>
      </c>
      <c r="B311" s="11" t="s">
        <v>291</v>
      </c>
      <c r="C311" s="25">
        <f>ROUND(VLOOKUP(A311,'Contribution Allocation_Report'!$A$9:$D$314,4,FALSE)*$C$315,0)</f>
        <v>2571290</v>
      </c>
      <c r="D311" s="25">
        <f>ROUND(VLOOKUP(A311,'Contribution Allocation_Report'!$A$9:$D$314,4,FALSE)*$D$315,0)</f>
        <v>3458729</v>
      </c>
      <c r="E311" s="25">
        <f>ROUND(VLOOKUP(A311,'Contribution Allocation_Report'!$A$9:$D$314,4,FALSE)*$E$315,0)</f>
        <v>4545758</v>
      </c>
      <c r="J311" s="51"/>
      <c r="K311" s="168"/>
    </row>
    <row r="312" spans="1:11">
      <c r="A312" s="12">
        <v>8099</v>
      </c>
      <c r="B312" s="13" t="s">
        <v>292</v>
      </c>
      <c r="C312" s="26">
        <f>ROUND(VLOOKUP(A312,'Contribution Allocation_Report'!$A$9:$D$314,4,FALSE)*$C$315,0)</f>
        <v>4933439</v>
      </c>
      <c r="D312" s="26">
        <f>ROUND(VLOOKUP(A312,'Contribution Allocation_Report'!$A$9:$D$314,4,FALSE)*$D$315,0)</f>
        <v>6636137</v>
      </c>
      <c r="E312" s="26">
        <f>ROUND(VLOOKUP(A312,'Contribution Allocation_Report'!$A$9:$D$314,4,FALSE)*$E$315,0)</f>
        <v>8721778</v>
      </c>
      <c r="J312" s="51"/>
      <c r="K312" s="168"/>
    </row>
    <row r="313" spans="1:11">
      <c r="A313" s="10">
        <v>13142</v>
      </c>
      <c r="B313" s="11" t="s">
        <v>294</v>
      </c>
      <c r="C313" s="133">
        <f>ROUND(VLOOKUP(A313,'Contribution Allocation_Report'!$A$9:$D$314,4,FALSE)*$C$315,0)</f>
        <v>2832246</v>
      </c>
      <c r="D313" s="133">
        <f>ROUND(VLOOKUP(A313,'Contribution Allocation_Report'!$A$9:$D$314,4,FALSE)*$D$315,0)</f>
        <v>3809750</v>
      </c>
      <c r="E313" s="133">
        <f>ROUND(VLOOKUP(A313,'Contribution Allocation_Report'!$A$9:$D$314,4,FALSE)*$E$315,0)</f>
        <v>5007100</v>
      </c>
      <c r="J313" s="51"/>
      <c r="K313" s="168"/>
    </row>
    <row r="314" spans="1:11">
      <c r="A314" s="10"/>
      <c r="B314" s="11"/>
      <c r="C314" s="25"/>
      <c r="D314" s="25"/>
      <c r="E314" s="25"/>
      <c r="J314" s="51"/>
      <c r="K314" s="168"/>
    </row>
    <row r="315" spans="1:11" ht="15.75" thickBot="1">
      <c r="A315" s="3"/>
      <c r="B315" s="14"/>
      <c r="C315" s="68">
        <v>1157265150</v>
      </c>
      <c r="D315" s="68">
        <v>1556676574</v>
      </c>
      <c r="E315" s="68">
        <v>2045917424</v>
      </c>
      <c r="J315" s="51"/>
      <c r="K315" s="168"/>
    </row>
    <row r="316" spans="1:11" ht="15.75" thickTop="1">
      <c r="B316" s="14"/>
      <c r="C316" s="71"/>
      <c r="D316" s="71"/>
      <c r="E316" s="71"/>
      <c r="J316" s="53"/>
      <c r="K316" s="168"/>
    </row>
    <row r="317" spans="1:11">
      <c r="A317" s="3"/>
      <c r="B317" s="14"/>
      <c r="C317" s="71"/>
      <c r="D317" s="71"/>
      <c r="E317" s="71"/>
      <c r="J317" s="51"/>
      <c r="K317" s="168"/>
    </row>
    <row r="318" spans="1:11">
      <c r="C318" s="27"/>
      <c r="D318" s="27"/>
      <c r="E318" s="27"/>
      <c r="J318" s="53"/>
      <c r="K318" s="168"/>
    </row>
    <row r="319" spans="1:11">
      <c r="C319" s="28"/>
      <c r="D319" s="28"/>
      <c r="E319" s="28"/>
      <c r="J319" s="51"/>
      <c r="K319" s="168"/>
    </row>
    <row r="320" spans="1:11">
      <c r="C320" s="61">
        <f>+SUM(C8:C314)-C315</f>
        <v>0</v>
      </c>
      <c r="D320" s="61">
        <f>+SUM(D8:D314)-D315</f>
        <v>0</v>
      </c>
      <c r="E320" s="61">
        <f>+SUM(E8:E314)-E315</f>
        <v>0</v>
      </c>
      <c r="J320" s="53"/>
      <c r="K320" s="168"/>
    </row>
    <row r="321" spans="10:11">
      <c r="J321" s="51"/>
      <c r="K321" s="168"/>
    </row>
    <row r="322" spans="10:11">
      <c r="J322" s="53"/>
      <c r="K322" s="168"/>
    </row>
    <row r="323" spans="10:11">
      <c r="J323" s="51"/>
      <c r="K323" s="168"/>
    </row>
    <row r="324" spans="10:11">
      <c r="J324" s="51"/>
      <c r="K324" s="168"/>
    </row>
    <row r="326" spans="10:11">
      <c r="K326" s="168">
        <f t="shared" ref="K326" si="0">+A326-J326</f>
        <v>0</v>
      </c>
    </row>
  </sheetData>
  <mergeCells count="3">
    <mergeCell ref="A1:E1"/>
    <mergeCell ref="A2:E2"/>
    <mergeCell ref="A3:E3"/>
  </mergeCells>
  <printOptions horizontalCentered="1"/>
  <pageMargins left="0.7" right="0.7" top="0.5" bottom="0.5" header="0.5" footer="0.5"/>
  <pageSetup scale="55" firstPageNumber="34" fitToHeight="0" orientation="portrait" useFirstPageNumber="1" r:id="rId1"/>
  <headerFooter scaleWithDoc="0">
    <oddFooter>&amp;C&amp;"Arial,Regular"&amp;10&amp;P</oddFooter>
    <evenFooter>&amp;R&amp;"Arial,Regular"&amp;10&amp;P</evenFooter>
  </headerFooter>
  <rowBreaks count="4" manualBreakCount="4">
    <brk id="78" max="4" man="1"/>
    <brk id="148" max="4" man="1"/>
    <brk id="218" max="4" man="1"/>
    <brk id="291" max="4" man="1"/>
  </rowBreaks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P325"/>
  <sheetViews>
    <sheetView view="pageBreakPreview" topLeftCell="R1" zoomScale="90" zoomScaleNormal="100" zoomScaleSheetLayoutView="90" workbookViewId="0">
      <pane ySplit="5" topLeftCell="A6" activePane="bottomLeft" state="frozen"/>
      <selection activeCell="B143" sqref="B143"/>
      <selection pane="bottomLeft" activeCell="B143" sqref="B143"/>
    </sheetView>
  </sheetViews>
  <sheetFormatPr defaultColWidth="9.42578125" defaultRowHeight="12.75"/>
  <cols>
    <col min="1" max="1" width="12.42578125" style="5" customWidth="1"/>
    <col min="2" max="2" width="64.42578125" style="5" bestFit="1" customWidth="1"/>
    <col min="3" max="8" width="17.42578125" style="5" customWidth="1"/>
    <col min="9" max="13" width="15.42578125" style="5" customWidth="1"/>
    <col min="14" max="14" width="12" style="5" customWidth="1"/>
    <col min="15" max="26" width="12.5703125" style="5" customWidth="1"/>
    <col min="27" max="28" width="10.5703125" style="5" customWidth="1"/>
    <col min="29" max="29" width="13" style="5" bestFit="1" customWidth="1"/>
    <col min="30" max="30" width="9.42578125" style="5"/>
    <col min="31" max="31" width="14.42578125" style="5" customWidth="1"/>
    <col min="32" max="32" width="13.5703125" style="5" bestFit="1" customWidth="1"/>
    <col min="33" max="33" width="9.42578125" style="5"/>
    <col min="34" max="34" width="14.5703125" style="5" customWidth="1"/>
    <col min="35" max="35" width="12.5703125" style="5" bestFit="1" customWidth="1"/>
    <col min="36" max="36" width="12.5703125" style="5" customWidth="1"/>
    <col min="37" max="37" width="9.42578125" style="5"/>
    <col min="38" max="38" width="11.5703125" style="5" bestFit="1" customWidth="1"/>
    <col min="39" max="42" width="10.5703125" style="5" bestFit="1" customWidth="1"/>
    <col min="43" max="16384" width="9.42578125" style="5"/>
  </cols>
  <sheetData>
    <row r="1" spans="1:42">
      <c r="A1" s="5">
        <v>1</v>
      </c>
      <c r="B1" s="5">
        <v>2</v>
      </c>
      <c r="I1" s="5">
        <v>3</v>
      </c>
      <c r="J1" s="5">
        <v>4</v>
      </c>
      <c r="K1" s="5">
        <v>5</v>
      </c>
      <c r="L1" s="5">
        <v>6</v>
      </c>
      <c r="M1" s="5">
        <v>7</v>
      </c>
      <c r="N1" s="5">
        <v>8</v>
      </c>
      <c r="O1" s="5">
        <v>10</v>
      </c>
      <c r="P1" s="5">
        <v>11</v>
      </c>
      <c r="Q1" s="5">
        <v>12</v>
      </c>
      <c r="R1" s="5">
        <v>13</v>
      </c>
      <c r="S1" s="5">
        <v>14</v>
      </c>
      <c r="T1" s="5">
        <v>16</v>
      </c>
      <c r="U1" s="5">
        <v>17</v>
      </c>
      <c r="V1" s="5">
        <v>18</v>
      </c>
      <c r="W1" s="5">
        <v>19</v>
      </c>
      <c r="X1" s="5">
        <v>21</v>
      </c>
      <c r="Y1" s="5">
        <v>22</v>
      </c>
      <c r="Z1" s="5">
        <v>23</v>
      </c>
      <c r="AA1" s="5">
        <v>25</v>
      </c>
      <c r="AB1" s="5">
        <v>26</v>
      </c>
      <c r="AC1" s="5">
        <v>30</v>
      </c>
      <c r="AD1" s="5">
        <v>31</v>
      </c>
      <c r="AE1" s="5">
        <v>32</v>
      </c>
      <c r="AF1" s="5">
        <v>33</v>
      </c>
    </row>
    <row r="2" spans="1:42">
      <c r="I2" s="290" t="s">
        <v>449</v>
      </c>
      <c r="J2" s="290"/>
      <c r="K2" s="290"/>
      <c r="L2" s="290"/>
      <c r="M2" s="290"/>
      <c r="N2" s="157"/>
      <c r="O2" s="157"/>
      <c r="P2" s="157" t="s">
        <v>425</v>
      </c>
      <c r="Q2" s="157"/>
      <c r="R2" s="157"/>
      <c r="S2" s="157"/>
      <c r="T2" s="157"/>
      <c r="U2" s="157"/>
      <c r="V2" s="157"/>
      <c r="X2" s="290"/>
      <c r="Y2" s="290"/>
      <c r="AA2" s="157"/>
    </row>
    <row r="3" spans="1:42">
      <c r="I3" s="290" t="s">
        <v>313</v>
      </c>
      <c r="J3" s="290"/>
      <c r="K3" s="290"/>
      <c r="L3" s="290"/>
      <c r="M3" s="290"/>
      <c r="N3" s="157"/>
      <c r="O3" s="157"/>
      <c r="P3" s="157" t="s">
        <v>313</v>
      </c>
      <c r="Q3" s="157"/>
      <c r="R3" s="157"/>
      <c r="S3" s="157"/>
      <c r="T3" s="157"/>
      <c r="U3" s="157"/>
      <c r="V3" s="157"/>
      <c r="X3" s="290"/>
      <c r="Y3" s="290"/>
      <c r="AA3" s="157"/>
      <c r="AC3" s="105" t="s">
        <v>789</v>
      </c>
      <c r="AE3" s="289" t="s">
        <v>790</v>
      </c>
      <c r="AF3" s="289"/>
    </row>
    <row r="4" spans="1:42">
      <c r="C4" s="159" t="s">
        <v>403</v>
      </c>
      <c r="I4" s="157" t="s">
        <v>402</v>
      </c>
      <c r="J4" s="159" t="s">
        <v>403</v>
      </c>
      <c r="K4" s="157"/>
      <c r="L4" s="157"/>
      <c r="M4" s="157"/>
      <c r="N4" s="157"/>
      <c r="O4" s="157" t="s">
        <v>402</v>
      </c>
      <c r="P4" s="159" t="s">
        <v>403</v>
      </c>
      <c r="Q4" s="157"/>
      <c r="R4" s="157"/>
      <c r="S4" s="157"/>
      <c r="T4" s="157" t="s">
        <v>402</v>
      </c>
      <c r="U4" s="159" t="s">
        <v>403</v>
      </c>
      <c r="V4" s="157"/>
      <c r="X4" s="157" t="s">
        <v>402</v>
      </c>
      <c r="Y4" s="159" t="s">
        <v>403</v>
      </c>
      <c r="AA4" s="157" t="s">
        <v>402</v>
      </c>
      <c r="AC4" s="105"/>
      <c r="AE4" s="145"/>
      <c r="AF4" s="145"/>
    </row>
    <row r="5" spans="1:42" ht="25.5">
      <c r="A5" s="44" t="s">
        <v>0</v>
      </c>
      <c r="B5" s="45" t="s">
        <v>1</v>
      </c>
      <c r="C5" s="152">
        <v>2027</v>
      </c>
      <c r="D5" s="152">
        <v>2028</v>
      </c>
      <c r="E5" s="152">
        <v>2029</v>
      </c>
      <c r="F5" s="152">
        <v>2030</v>
      </c>
      <c r="G5" s="152">
        <v>2031</v>
      </c>
      <c r="H5" s="45"/>
      <c r="I5" s="152">
        <v>2026</v>
      </c>
      <c r="J5" s="152">
        <v>2027</v>
      </c>
      <c r="K5" s="152">
        <v>2028</v>
      </c>
      <c r="L5" s="152">
        <v>2029</v>
      </c>
      <c r="M5" s="152">
        <v>2030</v>
      </c>
      <c r="N5" s="45"/>
      <c r="O5" s="152">
        <v>2026</v>
      </c>
      <c r="P5" s="152">
        <v>2027</v>
      </c>
      <c r="Q5" s="152">
        <v>2028</v>
      </c>
      <c r="R5" s="152">
        <v>2029</v>
      </c>
      <c r="S5" s="152"/>
      <c r="T5" s="152">
        <v>2026</v>
      </c>
      <c r="U5" s="152">
        <v>2027</v>
      </c>
      <c r="V5" s="152">
        <v>2028</v>
      </c>
      <c r="W5" s="45"/>
      <c r="X5" s="152">
        <v>2026</v>
      </c>
      <c r="Y5" s="152">
        <v>2027</v>
      </c>
      <c r="Z5" s="45"/>
      <c r="AA5" s="152">
        <v>2026</v>
      </c>
      <c r="AB5" s="45"/>
      <c r="AC5" s="5">
        <v>2026</v>
      </c>
      <c r="AE5" s="5" t="s">
        <v>359</v>
      </c>
      <c r="AF5" s="5" t="s">
        <v>358</v>
      </c>
      <c r="AL5" s="152">
        <v>2027</v>
      </c>
      <c r="AM5" s="152">
        <v>2028</v>
      </c>
      <c r="AN5" s="152">
        <v>2029</v>
      </c>
      <c r="AO5" s="152">
        <v>2030</v>
      </c>
      <c r="AP5" s="152">
        <v>2031</v>
      </c>
    </row>
    <row r="6" spans="1:42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B6" s="17"/>
    </row>
    <row r="7" spans="1:42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B7" s="17"/>
    </row>
    <row r="8" spans="1:42">
      <c r="A8" s="51">
        <v>1341</v>
      </c>
      <c r="B8" s="52" t="s">
        <v>5</v>
      </c>
      <c r="C8" s="234">
        <f>_xlfn.XLOOKUP($A8,'Change in Proportion Calc'!$A$5:$A$311,'Change in Proportion Calc'!L$5:L$311,"n",0,1)</f>
        <v>4739701</v>
      </c>
      <c r="D8" s="234">
        <f>_xlfn.XLOOKUP($A8,'Change in Proportion Calc'!$A$5:$A$311,'Change in Proportion Calc'!M$5:M$311,"n",0,1)</f>
        <v>4739701</v>
      </c>
      <c r="E8" s="234">
        <f>_xlfn.XLOOKUP($A8,'Change in Proportion Calc'!$A$5:$A$311,'Change in Proportion Calc'!N$5:N$311,"n",0,1)</f>
        <v>4739701</v>
      </c>
      <c r="F8" s="234">
        <f>_xlfn.XLOOKUP($A8,'Change in Proportion Calc'!$A$5:$A$311,'Change in Proportion Calc'!O$5:O$311,"n",0,1)</f>
        <v>4739701</v>
      </c>
      <c r="G8" s="234">
        <f>_xlfn.XLOOKUP($A8,'Change in Proportion Calc'!$A$5:$A$311,'Change in Proportion Calc'!P$5:P$311,"n",0,1)</f>
        <v>3649569</v>
      </c>
      <c r="H8" s="54"/>
      <c r="I8" s="69">
        <v>1575656</v>
      </c>
      <c r="J8" s="69">
        <v>1575656</v>
      </c>
      <c r="K8" s="69">
        <v>1575656</v>
      </c>
      <c r="L8" s="69">
        <v>1575656</v>
      </c>
      <c r="M8" s="69">
        <v>1465361</v>
      </c>
      <c r="N8" s="54"/>
      <c r="O8" s="69">
        <v>-533161</v>
      </c>
      <c r="P8" s="69">
        <v>-533161</v>
      </c>
      <c r="Q8" s="69">
        <v>-533161</v>
      </c>
      <c r="R8" s="69">
        <v>-463859</v>
      </c>
      <c r="S8" s="69"/>
      <c r="T8" s="69">
        <v>-1805036</v>
      </c>
      <c r="U8" s="69">
        <v>-1805036</v>
      </c>
      <c r="V8" s="69">
        <v>-1606455</v>
      </c>
      <c r="W8" s="54"/>
      <c r="X8" s="69">
        <v>775058</v>
      </c>
      <c r="Y8" s="69">
        <v>759603</v>
      </c>
      <c r="Z8" s="54"/>
      <c r="AA8" s="108">
        <v>-1695839</v>
      </c>
      <c r="AB8" s="54"/>
      <c r="AC8" s="108">
        <f>VLOOKUP(A8,'Change in Proportion Calc'!$A$5:$H$311,8,FALSE)+SUMIF($C$5:$AB$5,2026,C8:AB8)</f>
        <v>3056379</v>
      </c>
      <c r="AE8" s="107">
        <f>IF(SUM(C8:G8)&gt;0,SUM(C8:G8))+IF(SUM(J8:M8)&gt;0,SUM(J8:M8),0)+IF(SUM(U8:V8)&gt;0,SUM(U8:V8),0)+IF(SUM(Y8)&gt;0,SUM(Y8),0)+IF(SUM(P8:R8)&gt;0,SUM(P8:R8),0)</f>
        <v>29560305</v>
      </c>
      <c r="AF8" s="107">
        <f>+IF(SUM(C8:G8)&lt;0,-SUM(C8:G8),0)+IF(SUM(J8:M8)&lt;0,-SUM(J8:M8),0)+IF(SUM(U8:V8)&lt;0,-SUM(U8:V8),0)+IF(SUM(Y8)&lt;0,-SUM(Y8),0)+IF(SUM(P8:R8)&lt;0,-SUM(P8:R8),0)</f>
        <v>4941672</v>
      </c>
      <c r="AG8" s="108"/>
      <c r="AH8" s="107"/>
      <c r="AI8" s="108"/>
      <c r="AJ8" s="108"/>
      <c r="AK8" s="213">
        <f t="shared" ref="AK8:AK71" si="0">+A8</f>
        <v>1341</v>
      </c>
      <c r="AL8" s="107">
        <f>+SUMIF($C$5:$AB$5,AL$5,$C8:$AB8)</f>
        <v>4736763</v>
      </c>
      <c r="AM8" s="107">
        <f t="shared" ref="AM8:AP23" si="1">+SUMIF($C$5:$AB$5,AM$5,$C8:$AB8)</f>
        <v>4175741</v>
      </c>
      <c r="AN8" s="107">
        <f t="shared" si="1"/>
        <v>5851498</v>
      </c>
      <c r="AO8" s="107">
        <f t="shared" si="1"/>
        <v>6205062</v>
      </c>
      <c r="AP8" s="107">
        <f t="shared" si="1"/>
        <v>3649569</v>
      </c>
    </row>
    <row r="9" spans="1:42">
      <c r="A9" s="53">
        <v>2308</v>
      </c>
      <c r="B9" s="54" t="s">
        <v>6</v>
      </c>
      <c r="C9" s="234">
        <f>_xlfn.XLOOKUP($A9,'Change in Proportion Calc'!$A$5:$A$311,'Change in Proportion Calc'!L$5:L$311,"n",0,1)</f>
        <v>-22623</v>
      </c>
      <c r="D9" s="234">
        <f>_xlfn.XLOOKUP($A9,'Change in Proportion Calc'!$A$5:$A$311,'Change in Proportion Calc'!M$5:M$311,"n",0,1)</f>
        <v>-22623</v>
      </c>
      <c r="E9" s="234">
        <f>_xlfn.XLOOKUP($A9,'Change in Proportion Calc'!$A$5:$A$311,'Change in Proportion Calc'!N$5:N$311,"n",0,1)</f>
        <v>-22623</v>
      </c>
      <c r="F9" s="234">
        <f>_xlfn.XLOOKUP($A9,'Change in Proportion Calc'!$A$5:$A$311,'Change in Proportion Calc'!O$5:O$311,"n",0,1)</f>
        <v>-22623</v>
      </c>
      <c r="G9" s="234">
        <f>_xlfn.XLOOKUP($A9,'Change in Proportion Calc'!$A$5:$A$311,'Change in Proportion Calc'!P$5:P$311,"n",0,1)</f>
        <v>-17419</v>
      </c>
      <c r="H9" s="54"/>
      <c r="I9" s="69">
        <v>2889</v>
      </c>
      <c r="J9" s="69">
        <v>2889</v>
      </c>
      <c r="K9" s="69">
        <v>2889</v>
      </c>
      <c r="L9" s="69">
        <v>2889</v>
      </c>
      <c r="M9" s="69">
        <v>2688</v>
      </c>
      <c r="N9" s="54"/>
      <c r="O9" s="69">
        <v>509</v>
      </c>
      <c r="P9" s="69">
        <v>509</v>
      </c>
      <c r="Q9" s="69">
        <v>509</v>
      </c>
      <c r="R9" s="69">
        <v>445</v>
      </c>
      <c r="S9" s="69"/>
      <c r="T9" s="69">
        <v>56372</v>
      </c>
      <c r="U9" s="69">
        <v>56372</v>
      </c>
      <c r="V9" s="69">
        <v>50173</v>
      </c>
      <c r="W9" s="54"/>
      <c r="X9" s="69">
        <v>60256</v>
      </c>
      <c r="Y9" s="69">
        <v>59052</v>
      </c>
      <c r="Z9" s="54"/>
      <c r="AA9" s="108">
        <v>-5384</v>
      </c>
      <c r="AB9" s="54"/>
      <c r="AC9" s="108">
        <f>VLOOKUP(A9,'Change in Proportion Calc'!$A$5:$H$311,8,FALSE)+SUMIF($C$5:$AB$5,2026,C9:AB9)</f>
        <v>92019</v>
      </c>
      <c r="AE9" s="107">
        <f t="shared" ref="AE9:AE72" si="2">IF(SUM(C9:G9)&gt;0,SUM(C9:G9))+IF(SUM(J9:M9)&gt;0,SUM(J9:M9),0)+IF(SUM(U9:V9)&gt;0,SUM(U9:V9),0)+IF(SUM(Y9)&gt;0,SUM(Y9),0)+IF(SUM(P9:R9)&gt;0,SUM(P9:R9),0)</f>
        <v>178415</v>
      </c>
      <c r="AF9" s="107">
        <f t="shared" ref="AF9:AF72" si="3">+IF(SUM(C9:G9)&lt;0,-SUM(C9:G9),0)+IF(SUM(J9:M9)&lt;0,-SUM(J9:M9),0)+IF(SUM(U9:V9)&lt;0,-SUM(U9:V9),0)+IF(SUM(Y9)&lt;0,-SUM(Y9),0)+IF(SUM(P9:R9)&lt;0,-SUM(P9:R9),0)</f>
        <v>107911</v>
      </c>
      <c r="AH9" s="107"/>
      <c r="AI9" s="108"/>
      <c r="AJ9" s="108"/>
      <c r="AK9" s="213">
        <f t="shared" si="0"/>
        <v>2308</v>
      </c>
      <c r="AL9" s="107">
        <f t="shared" ref="AL9:AP71" si="4">+SUMIF($C$5:$AB$5,AL$5,$C9:$AB9)</f>
        <v>96199</v>
      </c>
      <c r="AM9" s="107">
        <f t="shared" si="1"/>
        <v>30948</v>
      </c>
      <c r="AN9" s="107">
        <f t="shared" si="1"/>
        <v>-19289</v>
      </c>
      <c r="AO9" s="107">
        <f t="shared" si="1"/>
        <v>-19935</v>
      </c>
      <c r="AP9" s="107">
        <f t="shared" si="1"/>
        <v>-17419</v>
      </c>
    </row>
    <row r="10" spans="1:42">
      <c r="A10" s="51">
        <v>2340</v>
      </c>
      <c r="B10" s="55" t="s">
        <v>7</v>
      </c>
      <c r="C10" s="234">
        <f>_xlfn.XLOOKUP($A10,'Change in Proportion Calc'!$A$5:$A$311,'Change in Proportion Calc'!L$5:L$311,"n",0,1)</f>
        <v>1100</v>
      </c>
      <c r="D10" s="234">
        <f>_xlfn.XLOOKUP($A10,'Change in Proportion Calc'!$A$5:$A$311,'Change in Proportion Calc'!M$5:M$311,"n",0,1)</f>
        <v>1100</v>
      </c>
      <c r="E10" s="234">
        <f>_xlfn.XLOOKUP($A10,'Change in Proportion Calc'!$A$5:$A$311,'Change in Proportion Calc'!N$5:N$311,"n",0,1)</f>
        <v>1100</v>
      </c>
      <c r="F10" s="234">
        <f>_xlfn.XLOOKUP($A10,'Change in Proportion Calc'!$A$5:$A$311,'Change in Proportion Calc'!O$5:O$311,"n",0,1)</f>
        <v>1100</v>
      </c>
      <c r="G10" s="234">
        <f>_xlfn.XLOOKUP($A10,'Change in Proportion Calc'!$A$5:$A$311,'Change in Proportion Calc'!P$5:P$311,"n",0,1)</f>
        <v>847</v>
      </c>
      <c r="H10" s="54"/>
      <c r="I10" s="69">
        <v>8160</v>
      </c>
      <c r="J10" s="69">
        <v>8160</v>
      </c>
      <c r="K10" s="69">
        <v>8160</v>
      </c>
      <c r="L10" s="69">
        <v>8160</v>
      </c>
      <c r="M10" s="69">
        <v>7591</v>
      </c>
      <c r="N10" s="54"/>
      <c r="O10" s="69">
        <v>18461</v>
      </c>
      <c r="P10" s="69">
        <v>18461</v>
      </c>
      <c r="Q10" s="69">
        <v>18461</v>
      </c>
      <c r="R10" s="69">
        <v>16059</v>
      </c>
      <c r="S10" s="69"/>
      <c r="T10" s="69">
        <v>-3382</v>
      </c>
      <c r="U10" s="69">
        <v>-3382</v>
      </c>
      <c r="V10" s="69">
        <v>-3011</v>
      </c>
      <c r="W10" s="54"/>
      <c r="X10" s="69">
        <v>8666</v>
      </c>
      <c r="Y10" s="69">
        <v>8492</v>
      </c>
      <c r="Z10" s="54"/>
      <c r="AA10" s="108">
        <v>-10517</v>
      </c>
      <c r="AB10" s="54"/>
      <c r="AC10" s="108">
        <f>VLOOKUP(A10,'Change in Proportion Calc'!$A$5:$H$311,8,FALSE)+SUMIF($C$5:$AB$5,2026,C10:AB10)</f>
        <v>22488</v>
      </c>
      <c r="AE10" s="107">
        <f t="shared" si="2"/>
        <v>98791</v>
      </c>
      <c r="AF10" s="107">
        <f t="shared" si="3"/>
        <v>6393</v>
      </c>
      <c r="AH10" s="107"/>
      <c r="AI10" s="108"/>
      <c r="AJ10" s="108"/>
      <c r="AK10" s="213">
        <f t="shared" si="0"/>
        <v>2340</v>
      </c>
      <c r="AL10" s="107">
        <f t="shared" si="4"/>
        <v>32831</v>
      </c>
      <c r="AM10" s="107">
        <f t="shared" si="1"/>
        <v>24710</v>
      </c>
      <c r="AN10" s="107">
        <f t="shared" si="1"/>
        <v>25319</v>
      </c>
      <c r="AO10" s="107">
        <f t="shared" si="1"/>
        <v>8691</v>
      </c>
      <c r="AP10" s="107">
        <f t="shared" si="1"/>
        <v>847</v>
      </c>
    </row>
    <row r="11" spans="1:42">
      <c r="A11" s="53">
        <v>1301</v>
      </c>
      <c r="B11" s="54" t="s">
        <v>8</v>
      </c>
      <c r="C11" s="234">
        <f>_xlfn.XLOOKUP($A11,'Change in Proportion Calc'!$A$5:$A$311,'Change in Proportion Calc'!L$5:L$311,"n",0,1)</f>
        <v>-8272</v>
      </c>
      <c r="D11" s="234">
        <f>_xlfn.XLOOKUP($A11,'Change in Proportion Calc'!$A$5:$A$311,'Change in Proportion Calc'!M$5:M$311,"n",0,1)</f>
        <v>-8272</v>
      </c>
      <c r="E11" s="234">
        <f>_xlfn.XLOOKUP($A11,'Change in Proportion Calc'!$A$5:$A$311,'Change in Proportion Calc'!N$5:N$311,"n",0,1)</f>
        <v>-8272</v>
      </c>
      <c r="F11" s="234">
        <f>_xlfn.XLOOKUP($A11,'Change in Proportion Calc'!$A$5:$A$311,'Change in Proportion Calc'!O$5:O$311,"n",0,1)</f>
        <v>-8272</v>
      </c>
      <c r="G11" s="234">
        <f>_xlfn.XLOOKUP($A11,'Change in Proportion Calc'!$A$5:$A$311,'Change in Proportion Calc'!P$5:P$311,"n",0,1)</f>
        <v>-6368</v>
      </c>
      <c r="H11" s="54"/>
      <c r="I11" s="69">
        <v>443</v>
      </c>
      <c r="J11" s="69">
        <v>443</v>
      </c>
      <c r="K11" s="69">
        <v>443</v>
      </c>
      <c r="L11" s="69">
        <v>443</v>
      </c>
      <c r="M11" s="69">
        <v>411</v>
      </c>
      <c r="N11" s="54"/>
      <c r="O11" s="69">
        <v>27731</v>
      </c>
      <c r="P11" s="69">
        <v>27731</v>
      </c>
      <c r="Q11" s="69">
        <v>27731</v>
      </c>
      <c r="R11" s="69">
        <v>24124</v>
      </c>
      <c r="S11" s="69"/>
      <c r="T11" s="69">
        <v>-6884</v>
      </c>
      <c r="U11" s="69">
        <v>-6884</v>
      </c>
      <c r="V11" s="69">
        <v>-6127</v>
      </c>
      <c r="W11" s="54"/>
      <c r="X11" s="69">
        <v>35635</v>
      </c>
      <c r="Y11" s="69">
        <v>34924</v>
      </c>
      <c r="Z11" s="54"/>
      <c r="AA11" s="108">
        <v>10773</v>
      </c>
      <c r="AB11" s="54"/>
      <c r="AC11" s="108">
        <f>VLOOKUP(A11,'Change in Proportion Calc'!$A$5:$H$311,8,FALSE)+SUMIF($C$5:$AB$5,2026,C11:AB11)</f>
        <v>59426</v>
      </c>
      <c r="AE11" s="107">
        <f t="shared" si="2"/>
        <v>116250</v>
      </c>
      <c r="AF11" s="107">
        <f t="shared" si="3"/>
        <v>52467</v>
      </c>
      <c r="AH11" s="107"/>
      <c r="AI11" s="108"/>
      <c r="AJ11" s="108"/>
      <c r="AK11" s="213">
        <f t="shared" si="0"/>
        <v>1301</v>
      </c>
      <c r="AL11" s="107">
        <f t="shared" si="4"/>
        <v>47942</v>
      </c>
      <c r="AM11" s="107">
        <f t="shared" si="1"/>
        <v>13775</v>
      </c>
      <c r="AN11" s="107">
        <f t="shared" si="1"/>
        <v>16295</v>
      </c>
      <c r="AO11" s="107">
        <f t="shared" si="1"/>
        <v>-7861</v>
      </c>
      <c r="AP11" s="107">
        <f t="shared" si="1"/>
        <v>-6368</v>
      </c>
    </row>
    <row r="12" spans="1:42">
      <c r="A12" s="51">
        <v>2390</v>
      </c>
      <c r="B12" s="55" t="s">
        <v>9</v>
      </c>
      <c r="C12" s="234">
        <f>_xlfn.XLOOKUP($A12,'Change in Proportion Calc'!$A$5:$A$311,'Change in Proportion Calc'!L$5:L$311,"n",0,1)</f>
        <v>-17428</v>
      </c>
      <c r="D12" s="234">
        <f>_xlfn.XLOOKUP($A12,'Change in Proportion Calc'!$A$5:$A$311,'Change in Proportion Calc'!M$5:M$311,"n",0,1)</f>
        <v>-17428</v>
      </c>
      <c r="E12" s="234">
        <f>_xlfn.XLOOKUP($A12,'Change in Proportion Calc'!$A$5:$A$311,'Change in Proportion Calc'!N$5:N$311,"n",0,1)</f>
        <v>-17428</v>
      </c>
      <c r="F12" s="234">
        <f>_xlfn.XLOOKUP($A12,'Change in Proportion Calc'!$A$5:$A$311,'Change in Proportion Calc'!O$5:O$311,"n",0,1)</f>
        <v>-17428</v>
      </c>
      <c r="G12" s="234">
        <f>_xlfn.XLOOKUP($A12,'Change in Proportion Calc'!$A$5:$A$311,'Change in Proportion Calc'!P$5:P$311,"n",0,1)</f>
        <v>-13419</v>
      </c>
      <c r="H12" s="54"/>
      <c r="I12" s="69">
        <v>3239</v>
      </c>
      <c r="J12" s="69">
        <v>3239</v>
      </c>
      <c r="K12" s="69">
        <v>3239</v>
      </c>
      <c r="L12" s="69">
        <v>3239</v>
      </c>
      <c r="M12" s="69">
        <v>3010</v>
      </c>
      <c r="N12" s="54"/>
      <c r="O12" s="69">
        <v>49810</v>
      </c>
      <c r="P12" s="69">
        <v>49810</v>
      </c>
      <c r="Q12" s="69">
        <v>49810</v>
      </c>
      <c r="R12" s="69">
        <v>43335</v>
      </c>
      <c r="S12" s="69"/>
      <c r="T12" s="69">
        <v>1433</v>
      </c>
      <c r="U12" s="69">
        <v>1433</v>
      </c>
      <c r="V12" s="69">
        <v>1273</v>
      </c>
      <c r="W12" s="54"/>
      <c r="X12" s="69">
        <v>18142</v>
      </c>
      <c r="Y12" s="69">
        <v>17777</v>
      </c>
      <c r="Z12" s="54"/>
      <c r="AA12" s="108">
        <v>-25667</v>
      </c>
      <c r="AB12" s="54"/>
      <c r="AC12" s="108">
        <f>VLOOKUP(A12,'Change in Proportion Calc'!$A$5:$H$311,8,FALSE)+SUMIF($C$5:$AB$5,2026,C12:AB12)</f>
        <v>29529</v>
      </c>
      <c r="AE12" s="107">
        <f t="shared" si="2"/>
        <v>176165</v>
      </c>
      <c r="AF12" s="107">
        <f t="shared" si="3"/>
        <v>83131</v>
      </c>
      <c r="AH12" s="107"/>
      <c r="AI12" s="108"/>
      <c r="AJ12" s="108"/>
      <c r="AK12" s="213">
        <f t="shared" si="0"/>
        <v>2390</v>
      </c>
      <c r="AL12" s="107">
        <f t="shared" si="4"/>
        <v>54831</v>
      </c>
      <c r="AM12" s="107">
        <f t="shared" si="1"/>
        <v>36894</v>
      </c>
      <c r="AN12" s="107">
        <f t="shared" si="1"/>
        <v>29146</v>
      </c>
      <c r="AO12" s="107">
        <f t="shared" si="1"/>
        <v>-14418</v>
      </c>
      <c r="AP12" s="107">
        <f t="shared" si="1"/>
        <v>-13419</v>
      </c>
    </row>
    <row r="13" spans="1:42">
      <c r="A13" s="53">
        <v>2441</v>
      </c>
      <c r="B13" s="54" t="s">
        <v>408</v>
      </c>
      <c r="C13" s="234">
        <f>_xlfn.XLOOKUP($A13,'Change in Proportion Calc'!$A$5:$A$311,'Change in Proportion Calc'!L$5:L$311,"n",0,1)</f>
        <v>12854</v>
      </c>
      <c r="D13" s="234">
        <f>_xlfn.XLOOKUP($A13,'Change in Proportion Calc'!$A$5:$A$311,'Change in Proportion Calc'!M$5:M$311,"n",0,1)</f>
        <v>12854</v>
      </c>
      <c r="E13" s="234">
        <f>_xlfn.XLOOKUP($A13,'Change in Proportion Calc'!$A$5:$A$311,'Change in Proportion Calc'!N$5:N$311,"n",0,1)</f>
        <v>12854</v>
      </c>
      <c r="F13" s="234">
        <f>_xlfn.XLOOKUP($A13,'Change in Proportion Calc'!$A$5:$A$311,'Change in Proportion Calc'!O$5:O$311,"n",0,1)</f>
        <v>12854</v>
      </c>
      <c r="G13" s="234">
        <f>_xlfn.XLOOKUP($A13,'Change in Proportion Calc'!$A$5:$A$311,'Change in Proportion Calc'!P$5:P$311,"n",0,1)</f>
        <v>9899</v>
      </c>
      <c r="H13" s="54"/>
      <c r="I13" s="69">
        <v>-19001</v>
      </c>
      <c r="J13" s="69">
        <v>-19001</v>
      </c>
      <c r="K13" s="69">
        <v>-19001</v>
      </c>
      <c r="L13" s="69">
        <v>-19001</v>
      </c>
      <c r="M13" s="69">
        <v>-17670</v>
      </c>
      <c r="N13" s="54"/>
      <c r="O13" s="69">
        <v>85156</v>
      </c>
      <c r="P13" s="69">
        <v>85156</v>
      </c>
      <c r="Q13" s="69">
        <v>85156</v>
      </c>
      <c r="R13" s="69">
        <v>74084</v>
      </c>
      <c r="S13" s="69"/>
      <c r="T13" s="69">
        <v>8073</v>
      </c>
      <c r="U13" s="69">
        <v>8073</v>
      </c>
      <c r="V13" s="69">
        <v>7183</v>
      </c>
      <c r="W13" s="54"/>
      <c r="X13" s="69">
        <v>65520</v>
      </c>
      <c r="Y13" s="69">
        <v>64212</v>
      </c>
      <c r="Z13" s="54"/>
      <c r="AA13" s="107">
        <v>0</v>
      </c>
      <c r="AB13" s="54"/>
      <c r="AC13" s="108">
        <f>VLOOKUP(A13,'Change in Proportion Calc'!$A$5:$H$311,8,FALSE)+SUMIF($C$5:$AB$5,2026,C13:AB13)</f>
        <v>152602</v>
      </c>
      <c r="AE13" s="107">
        <f t="shared" si="2"/>
        <v>385179</v>
      </c>
      <c r="AF13" s="107">
        <f t="shared" si="3"/>
        <v>74673</v>
      </c>
      <c r="AH13" s="107"/>
      <c r="AI13" s="108"/>
      <c r="AJ13" s="108"/>
      <c r="AK13" s="213">
        <f t="shared" si="0"/>
        <v>2441</v>
      </c>
      <c r="AL13" s="107">
        <f t="shared" si="4"/>
        <v>151294</v>
      </c>
      <c r="AM13" s="107">
        <f t="shared" si="1"/>
        <v>86192</v>
      </c>
      <c r="AN13" s="107">
        <f t="shared" si="1"/>
        <v>67937</v>
      </c>
      <c r="AO13" s="107">
        <f t="shared" si="1"/>
        <v>-4816</v>
      </c>
      <c r="AP13" s="107">
        <f t="shared" si="1"/>
        <v>9899</v>
      </c>
    </row>
    <row r="14" spans="1:42">
      <c r="A14" s="53">
        <v>15046</v>
      </c>
      <c r="B14" s="54" t="s">
        <v>10</v>
      </c>
      <c r="C14" s="234">
        <f>_xlfn.XLOOKUP($A14,'Change in Proportion Calc'!$A$5:$A$311,'Change in Proportion Calc'!L$5:L$311,"n",0,1)</f>
        <v>-30361</v>
      </c>
      <c r="D14" s="234">
        <f>_xlfn.XLOOKUP($A14,'Change in Proportion Calc'!$A$5:$A$311,'Change in Proportion Calc'!M$5:M$311,"n",0,1)</f>
        <v>-30361</v>
      </c>
      <c r="E14" s="234">
        <f>_xlfn.XLOOKUP($A14,'Change in Proportion Calc'!$A$5:$A$311,'Change in Proportion Calc'!N$5:N$311,"n",0,1)</f>
        <v>-30361</v>
      </c>
      <c r="F14" s="234">
        <f>_xlfn.XLOOKUP($A14,'Change in Proportion Calc'!$A$5:$A$311,'Change in Proportion Calc'!O$5:O$311,"n",0,1)</f>
        <v>-30361</v>
      </c>
      <c r="G14" s="234">
        <f>_xlfn.XLOOKUP($A14,'Change in Proportion Calc'!$A$5:$A$311,'Change in Proportion Calc'!P$5:P$311,"n",0,1)</f>
        <v>-23376</v>
      </c>
      <c r="H14" s="54"/>
      <c r="I14" s="69">
        <v>220347</v>
      </c>
      <c r="J14" s="69">
        <v>220347</v>
      </c>
      <c r="K14" s="69">
        <v>220347</v>
      </c>
      <c r="L14" s="69">
        <v>220347</v>
      </c>
      <c r="M14" s="69">
        <v>204922</v>
      </c>
      <c r="N14" s="54"/>
      <c r="O14" s="69">
        <v>274255</v>
      </c>
      <c r="P14" s="69">
        <v>274255</v>
      </c>
      <c r="Q14" s="69">
        <v>274255</v>
      </c>
      <c r="R14" s="69">
        <v>238604</v>
      </c>
      <c r="S14" s="69"/>
      <c r="T14" s="69">
        <v>-229342</v>
      </c>
      <c r="U14" s="69">
        <v>-229342</v>
      </c>
      <c r="V14" s="69">
        <v>-204112</v>
      </c>
      <c r="W14" s="54"/>
      <c r="X14" s="69">
        <v>-40657</v>
      </c>
      <c r="Y14" s="69">
        <v>-39842</v>
      </c>
      <c r="Z14" s="54"/>
      <c r="AA14" s="108">
        <v>369929</v>
      </c>
      <c r="AB14" s="54"/>
      <c r="AC14" s="108">
        <f>VLOOKUP(A14,'Change in Proportion Calc'!$A$5:$H$311,8,FALSE)+SUMIF($C$5:$AB$5,2026,C14:AB14)</f>
        <v>564171</v>
      </c>
      <c r="AE14" s="107">
        <f t="shared" si="2"/>
        <v>1653077</v>
      </c>
      <c r="AF14" s="107">
        <f t="shared" si="3"/>
        <v>618116</v>
      </c>
      <c r="AH14" s="107"/>
      <c r="AI14" s="108"/>
      <c r="AJ14" s="108"/>
      <c r="AK14" s="213">
        <f t="shared" si="0"/>
        <v>15046</v>
      </c>
      <c r="AL14" s="107">
        <f t="shared" si="4"/>
        <v>195057</v>
      </c>
      <c r="AM14" s="107">
        <f t="shared" si="1"/>
        <v>260129</v>
      </c>
      <c r="AN14" s="107">
        <f t="shared" si="1"/>
        <v>428590</v>
      </c>
      <c r="AO14" s="107">
        <f t="shared" si="1"/>
        <v>174561</v>
      </c>
      <c r="AP14" s="107">
        <f t="shared" si="1"/>
        <v>-23376</v>
      </c>
    </row>
    <row r="15" spans="1:42">
      <c r="A15" s="51">
        <v>4380</v>
      </c>
      <c r="B15" s="55" t="s">
        <v>11</v>
      </c>
      <c r="C15" s="234">
        <f>_xlfn.XLOOKUP($A15,'Change in Proportion Calc'!$A$5:$A$311,'Change in Proportion Calc'!L$5:L$311,"n",0,1)</f>
        <v>-85461</v>
      </c>
      <c r="D15" s="234">
        <f>_xlfn.XLOOKUP($A15,'Change in Proportion Calc'!$A$5:$A$311,'Change in Proportion Calc'!M$5:M$311,"n",0,1)</f>
        <v>-85461</v>
      </c>
      <c r="E15" s="234">
        <f>_xlfn.XLOOKUP($A15,'Change in Proportion Calc'!$A$5:$A$311,'Change in Proportion Calc'!N$5:N$311,"n",0,1)</f>
        <v>-85461</v>
      </c>
      <c r="F15" s="234">
        <f>_xlfn.XLOOKUP($A15,'Change in Proportion Calc'!$A$5:$A$311,'Change in Proportion Calc'!O$5:O$311,"n",0,1)</f>
        <v>-85461</v>
      </c>
      <c r="G15" s="234">
        <f>_xlfn.XLOOKUP($A15,'Change in Proportion Calc'!$A$5:$A$311,'Change in Proportion Calc'!P$5:P$311,"n",0,1)</f>
        <v>-65807</v>
      </c>
      <c r="H15" s="54"/>
      <c r="I15" s="69">
        <v>-533678</v>
      </c>
      <c r="J15" s="69">
        <v>-533678</v>
      </c>
      <c r="K15" s="69">
        <v>-533678</v>
      </c>
      <c r="L15" s="69">
        <v>-533678</v>
      </c>
      <c r="M15" s="69">
        <v>-496320</v>
      </c>
      <c r="N15" s="54"/>
      <c r="O15" s="69">
        <v>106631</v>
      </c>
      <c r="P15" s="69">
        <v>106631</v>
      </c>
      <c r="Q15" s="69">
        <v>106631</v>
      </c>
      <c r="R15" s="69">
        <v>92769</v>
      </c>
      <c r="S15" s="69"/>
      <c r="T15" s="69">
        <v>-181885</v>
      </c>
      <c r="U15" s="69">
        <v>-181885</v>
      </c>
      <c r="V15" s="69">
        <v>-161880</v>
      </c>
      <c r="W15" s="54"/>
      <c r="X15" s="69">
        <v>58717</v>
      </c>
      <c r="Y15" s="69">
        <v>57545</v>
      </c>
      <c r="Z15" s="54"/>
      <c r="AA15" s="108">
        <v>-412513</v>
      </c>
      <c r="AB15" s="54"/>
      <c r="AC15" s="108">
        <f>VLOOKUP(A15,'Change in Proportion Calc'!$A$5:$H$311,8,FALSE)+SUMIF($C$5:$AB$5,2026,C15:AB15)</f>
        <v>-1048189</v>
      </c>
      <c r="AE15" s="107">
        <f t="shared" si="2"/>
        <v>363576</v>
      </c>
      <c r="AF15" s="107">
        <f t="shared" si="3"/>
        <v>2848770</v>
      </c>
      <c r="AH15" s="107"/>
      <c r="AI15" s="108"/>
      <c r="AJ15" s="108"/>
      <c r="AK15" s="213">
        <f t="shared" si="0"/>
        <v>4380</v>
      </c>
      <c r="AL15" s="107">
        <f t="shared" si="4"/>
        <v>-636848</v>
      </c>
      <c r="AM15" s="107">
        <f t="shared" si="1"/>
        <v>-674388</v>
      </c>
      <c r="AN15" s="107">
        <f t="shared" si="1"/>
        <v>-526370</v>
      </c>
      <c r="AO15" s="107">
        <f t="shared" si="1"/>
        <v>-581781</v>
      </c>
      <c r="AP15" s="107">
        <f t="shared" si="1"/>
        <v>-65807</v>
      </c>
    </row>
    <row r="16" spans="1:42">
      <c r="A16" s="53">
        <v>2435</v>
      </c>
      <c r="B16" s="54" t="s">
        <v>391</v>
      </c>
      <c r="C16" s="234">
        <f>_xlfn.XLOOKUP($A16,'Change in Proportion Calc'!$A$5:$A$311,'Change in Proportion Calc'!L$5:L$311,"n",0,1)</f>
        <v>16933</v>
      </c>
      <c r="D16" s="234">
        <f>_xlfn.XLOOKUP($A16,'Change in Proportion Calc'!$A$5:$A$311,'Change in Proportion Calc'!M$5:M$311,"n",0,1)</f>
        <v>16933</v>
      </c>
      <c r="E16" s="234">
        <f>_xlfn.XLOOKUP($A16,'Change in Proportion Calc'!$A$5:$A$311,'Change in Proportion Calc'!N$5:N$311,"n",0,1)</f>
        <v>16933</v>
      </c>
      <c r="F16" s="234">
        <f>_xlfn.XLOOKUP($A16,'Change in Proportion Calc'!$A$5:$A$311,'Change in Proportion Calc'!O$5:O$311,"n",0,1)</f>
        <v>16933</v>
      </c>
      <c r="G16" s="234">
        <f>_xlfn.XLOOKUP($A16,'Change in Proportion Calc'!$A$5:$A$311,'Change in Proportion Calc'!P$5:P$311,"n",0,1)</f>
        <v>13039</v>
      </c>
      <c r="H16" s="54"/>
      <c r="I16" s="69">
        <v>1840</v>
      </c>
      <c r="J16" s="69">
        <v>1840</v>
      </c>
      <c r="K16" s="69">
        <v>1840</v>
      </c>
      <c r="L16" s="69">
        <v>1840</v>
      </c>
      <c r="M16" s="69">
        <v>1713</v>
      </c>
      <c r="N16" s="54"/>
      <c r="O16" s="69">
        <v>29561</v>
      </c>
      <c r="P16" s="69">
        <v>29561</v>
      </c>
      <c r="Q16" s="69">
        <v>29561</v>
      </c>
      <c r="R16" s="69">
        <v>25718</v>
      </c>
      <c r="S16" s="69"/>
      <c r="T16" s="69">
        <v>33723</v>
      </c>
      <c r="U16" s="69">
        <v>33723</v>
      </c>
      <c r="V16" s="69">
        <v>30014</v>
      </c>
      <c r="W16" s="54"/>
      <c r="X16" s="69">
        <v>37336</v>
      </c>
      <c r="Y16" s="69">
        <v>36590</v>
      </c>
      <c r="Z16" s="54"/>
      <c r="AA16" s="108">
        <v>22469</v>
      </c>
      <c r="AB16" s="54"/>
      <c r="AC16" s="108">
        <f>VLOOKUP(A16,'Change in Proportion Calc'!$A$5:$H$311,8,FALSE)+SUMIF($C$5:$AB$5,2026,C16:AB16)</f>
        <v>141862</v>
      </c>
      <c r="AE16" s="107">
        <f t="shared" si="2"/>
        <v>273171</v>
      </c>
      <c r="AF16" s="107">
        <f t="shared" si="3"/>
        <v>0</v>
      </c>
      <c r="AH16" s="107"/>
      <c r="AI16" s="108"/>
      <c r="AJ16" s="108"/>
      <c r="AK16" s="213">
        <f t="shared" si="0"/>
        <v>2435</v>
      </c>
      <c r="AL16" s="107">
        <f t="shared" si="4"/>
        <v>118647</v>
      </c>
      <c r="AM16" s="107">
        <f t="shared" si="1"/>
        <v>78348</v>
      </c>
      <c r="AN16" s="107">
        <f t="shared" si="1"/>
        <v>44491</v>
      </c>
      <c r="AO16" s="107">
        <f t="shared" si="1"/>
        <v>18646</v>
      </c>
      <c r="AP16" s="107">
        <f t="shared" si="1"/>
        <v>13039</v>
      </c>
    </row>
    <row r="17" spans="1:42">
      <c r="A17" s="51">
        <v>4560</v>
      </c>
      <c r="B17" s="55" t="s">
        <v>12</v>
      </c>
      <c r="C17" s="234">
        <f>_xlfn.XLOOKUP($A17,'Change in Proportion Calc'!$A$5:$A$311,'Change in Proportion Calc'!L$5:L$311,"n",0,1)</f>
        <v>-35156</v>
      </c>
      <c r="D17" s="234">
        <f>_xlfn.XLOOKUP($A17,'Change in Proportion Calc'!$A$5:$A$311,'Change in Proportion Calc'!M$5:M$311,"n",0,1)</f>
        <v>-35156</v>
      </c>
      <c r="E17" s="234">
        <f>_xlfn.XLOOKUP($A17,'Change in Proportion Calc'!$A$5:$A$311,'Change in Proportion Calc'!N$5:N$311,"n",0,1)</f>
        <v>-35156</v>
      </c>
      <c r="F17" s="234">
        <f>_xlfn.XLOOKUP($A17,'Change in Proportion Calc'!$A$5:$A$311,'Change in Proportion Calc'!O$5:O$311,"n",0,1)</f>
        <v>-35156</v>
      </c>
      <c r="G17" s="234">
        <f>_xlfn.XLOOKUP($A17,'Change in Proportion Calc'!$A$5:$A$311,'Change in Proportion Calc'!P$5:P$311,"n",0,1)</f>
        <v>-27069</v>
      </c>
      <c r="H17" s="54"/>
      <c r="I17" s="69">
        <v>15426</v>
      </c>
      <c r="J17" s="69">
        <v>15426</v>
      </c>
      <c r="K17" s="69">
        <v>15426</v>
      </c>
      <c r="L17" s="69">
        <v>15426</v>
      </c>
      <c r="M17" s="69">
        <v>14347</v>
      </c>
      <c r="N17" s="54"/>
      <c r="O17" s="69">
        <v>-7820</v>
      </c>
      <c r="P17" s="69">
        <v>-7820</v>
      </c>
      <c r="Q17" s="69">
        <v>-7820</v>
      </c>
      <c r="R17" s="69">
        <v>-6803</v>
      </c>
      <c r="S17" s="69"/>
      <c r="T17" s="69">
        <v>-33737</v>
      </c>
      <c r="U17" s="69">
        <v>-33737</v>
      </c>
      <c r="V17" s="69">
        <v>-30028</v>
      </c>
      <c r="W17" s="54"/>
      <c r="X17" s="69">
        <v>42034</v>
      </c>
      <c r="Y17" s="69">
        <v>41191</v>
      </c>
      <c r="Z17" s="54"/>
      <c r="AA17" s="108">
        <v>-16829</v>
      </c>
      <c r="AB17" s="54"/>
      <c r="AC17" s="108">
        <f>VLOOKUP(A17,'Change in Proportion Calc'!$A$5:$H$311,8,FALSE)+SUMIF($C$5:$AB$5,2026,C17:AB17)</f>
        <v>-36082</v>
      </c>
      <c r="AE17" s="107">
        <f t="shared" si="2"/>
        <v>101816</v>
      </c>
      <c r="AF17" s="107">
        <f t="shared" si="3"/>
        <v>253901</v>
      </c>
      <c r="AH17" s="107"/>
      <c r="AI17" s="108"/>
      <c r="AJ17" s="108"/>
      <c r="AK17" s="213">
        <f t="shared" si="0"/>
        <v>4560</v>
      </c>
      <c r="AL17" s="107">
        <f t="shared" si="4"/>
        <v>-20096</v>
      </c>
      <c r="AM17" s="107">
        <f t="shared" si="1"/>
        <v>-57578</v>
      </c>
      <c r="AN17" s="107">
        <f t="shared" si="1"/>
        <v>-26533</v>
      </c>
      <c r="AO17" s="107">
        <f t="shared" si="1"/>
        <v>-20809</v>
      </c>
      <c r="AP17" s="107">
        <f t="shared" si="1"/>
        <v>-27069</v>
      </c>
    </row>
    <row r="18" spans="1:42">
      <c r="A18" s="53">
        <v>2341</v>
      </c>
      <c r="B18" s="54" t="s">
        <v>406</v>
      </c>
      <c r="C18" s="234">
        <f>_xlfn.XLOOKUP($A18,'Change in Proportion Calc'!$A$5:$A$311,'Change in Proportion Calc'!L$5:L$311,"n",0,1)</f>
        <v>-3653</v>
      </c>
      <c r="D18" s="234">
        <f>_xlfn.XLOOKUP($A18,'Change in Proportion Calc'!$A$5:$A$311,'Change in Proportion Calc'!M$5:M$311,"n",0,1)</f>
        <v>-3653</v>
      </c>
      <c r="E18" s="234">
        <f>_xlfn.XLOOKUP($A18,'Change in Proportion Calc'!$A$5:$A$311,'Change in Proportion Calc'!N$5:N$311,"n",0,1)</f>
        <v>-3653</v>
      </c>
      <c r="F18" s="234">
        <f>_xlfn.XLOOKUP($A18,'Change in Proportion Calc'!$A$5:$A$311,'Change in Proportion Calc'!O$5:O$311,"n",0,1)</f>
        <v>-3653</v>
      </c>
      <c r="G18" s="234">
        <f>_xlfn.XLOOKUP($A18,'Change in Proportion Calc'!$A$5:$A$311,'Change in Proportion Calc'!P$5:P$311,"n",0,1)</f>
        <v>-2814</v>
      </c>
      <c r="H18" s="54"/>
      <c r="I18" s="69">
        <v>-7635</v>
      </c>
      <c r="J18" s="69">
        <v>-7635</v>
      </c>
      <c r="K18" s="69">
        <v>-7635</v>
      </c>
      <c r="L18" s="69">
        <v>-7635</v>
      </c>
      <c r="M18" s="69">
        <v>-7099</v>
      </c>
      <c r="N18" s="54"/>
      <c r="O18" s="69">
        <v>-9017</v>
      </c>
      <c r="P18" s="69">
        <v>-9017</v>
      </c>
      <c r="Q18" s="69">
        <v>-9017</v>
      </c>
      <c r="R18" s="69">
        <v>-7844</v>
      </c>
      <c r="S18" s="69"/>
      <c r="T18" s="69">
        <v>-1132</v>
      </c>
      <c r="U18" s="69">
        <v>-1132</v>
      </c>
      <c r="V18" s="69">
        <v>-1008</v>
      </c>
      <c r="W18" s="54"/>
      <c r="X18" s="69">
        <v>-13930</v>
      </c>
      <c r="Y18" s="69">
        <v>-13653</v>
      </c>
      <c r="Z18" s="54"/>
      <c r="AA18" s="108">
        <v>-9844</v>
      </c>
      <c r="AB18" s="54"/>
      <c r="AC18" s="108">
        <f>VLOOKUP(A18,'Change in Proportion Calc'!$A$5:$H$311,8,FALSE)+SUMIF($C$5:$AB$5,2026,C18:AB18)</f>
        <v>-45211</v>
      </c>
      <c r="AE18" s="107">
        <f t="shared" si="2"/>
        <v>0</v>
      </c>
      <c r="AF18" s="107">
        <f t="shared" si="3"/>
        <v>89101</v>
      </c>
      <c r="AH18" s="107"/>
      <c r="AI18" s="108"/>
      <c r="AJ18" s="108"/>
      <c r="AK18" s="213">
        <f t="shared" si="0"/>
        <v>2341</v>
      </c>
      <c r="AL18" s="107">
        <f t="shared" si="4"/>
        <v>-35090</v>
      </c>
      <c r="AM18" s="107">
        <f t="shared" si="1"/>
        <v>-21313</v>
      </c>
      <c r="AN18" s="107">
        <f t="shared" si="1"/>
        <v>-19132</v>
      </c>
      <c r="AO18" s="107">
        <f t="shared" si="1"/>
        <v>-10752</v>
      </c>
      <c r="AP18" s="107">
        <f t="shared" si="1"/>
        <v>-2814</v>
      </c>
    </row>
    <row r="19" spans="1:42">
      <c r="A19" s="51">
        <v>4580</v>
      </c>
      <c r="B19" s="55" t="s">
        <v>392</v>
      </c>
      <c r="C19" s="234">
        <f>_xlfn.XLOOKUP($A19,'Change in Proportion Calc'!$A$5:$A$311,'Change in Proportion Calc'!L$5:L$311,"n",0,1)</f>
        <v>-6340</v>
      </c>
      <c r="D19" s="234">
        <f>_xlfn.XLOOKUP($A19,'Change in Proportion Calc'!$A$5:$A$311,'Change in Proportion Calc'!M$5:M$311,"n",0,1)</f>
        <v>-6340</v>
      </c>
      <c r="E19" s="234">
        <f>_xlfn.XLOOKUP($A19,'Change in Proportion Calc'!$A$5:$A$311,'Change in Proportion Calc'!N$5:N$311,"n",0,1)</f>
        <v>-6340</v>
      </c>
      <c r="F19" s="234">
        <f>_xlfn.XLOOKUP($A19,'Change in Proportion Calc'!$A$5:$A$311,'Change in Proportion Calc'!O$5:O$311,"n",0,1)</f>
        <v>-6340</v>
      </c>
      <c r="G19" s="234">
        <f>_xlfn.XLOOKUP($A19,'Change in Proportion Calc'!$A$5:$A$311,'Change in Proportion Calc'!P$5:P$311,"n",0,1)</f>
        <v>-4881</v>
      </c>
      <c r="H19" s="54"/>
      <c r="I19" s="69">
        <v>4015</v>
      </c>
      <c r="J19" s="69">
        <v>4015</v>
      </c>
      <c r="K19" s="69">
        <v>4015</v>
      </c>
      <c r="L19" s="69">
        <v>4015</v>
      </c>
      <c r="M19" s="69">
        <v>3734</v>
      </c>
      <c r="N19" s="54"/>
      <c r="O19" s="69">
        <v>11559</v>
      </c>
      <c r="P19" s="69">
        <v>11559</v>
      </c>
      <c r="Q19" s="69">
        <v>11559</v>
      </c>
      <c r="R19" s="69">
        <v>10055</v>
      </c>
      <c r="S19" s="69"/>
      <c r="T19" s="69">
        <v>10222</v>
      </c>
      <c r="U19" s="69">
        <v>10222</v>
      </c>
      <c r="V19" s="69">
        <v>9100</v>
      </c>
      <c r="W19" s="54"/>
      <c r="X19" s="69">
        <v>-3320</v>
      </c>
      <c r="Y19" s="69">
        <v>-3256</v>
      </c>
      <c r="Z19" s="54"/>
      <c r="AA19" s="108">
        <v>-17419</v>
      </c>
      <c r="AB19" s="54"/>
      <c r="AC19" s="108">
        <f>VLOOKUP(A19,'Change in Proportion Calc'!$A$5:$H$311,8,FALSE)+SUMIF($C$5:$AB$5,2026,C19:AB19)</f>
        <v>-1283</v>
      </c>
      <c r="AE19" s="107">
        <f t="shared" si="2"/>
        <v>68274</v>
      </c>
      <c r="AF19" s="107">
        <f t="shared" si="3"/>
        <v>33497</v>
      </c>
      <c r="AH19" s="107"/>
      <c r="AI19" s="108"/>
      <c r="AJ19" s="108"/>
      <c r="AK19" s="213">
        <f t="shared" si="0"/>
        <v>4580</v>
      </c>
      <c r="AL19" s="107">
        <f t="shared" si="4"/>
        <v>16200</v>
      </c>
      <c r="AM19" s="107">
        <f t="shared" si="1"/>
        <v>18334</v>
      </c>
      <c r="AN19" s="107">
        <f t="shared" si="1"/>
        <v>7730</v>
      </c>
      <c r="AO19" s="107">
        <f t="shared" si="1"/>
        <v>-2606</v>
      </c>
      <c r="AP19" s="107">
        <f t="shared" si="1"/>
        <v>-4881</v>
      </c>
    </row>
    <row r="20" spans="1:42">
      <c r="A20" s="53">
        <v>2003</v>
      </c>
      <c r="B20" s="54" t="s">
        <v>13</v>
      </c>
      <c r="C20" s="234">
        <f>_xlfn.XLOOKUP($A20,'Change in Proportion Calc'!$A$5:$A$311,'Change in Proportion Calc'!L$5:L$311,"n",0,1)</f>
        <v>-2402500</v>
      </c>
      <c r="D20" s="234">
        <f>_xlfn.XLOOKUP($A20,'Change in Proportion Calc'!$A$5:$A$311,'Change in Proportion Calc'!M$5:M$311,"n",0,1)</f>
        <v>-2402500</v>
      </c>
      <c r="E20" s="234">
        <f>_xlfn.XLOOKUP($A20,'Change in Proportion Calc'!$A$5:$A$311,'Change in Proportion Calc'!N$5:N$311,"n",0,1)</f>
        <v>-2402500</v>
      </c>
      <c r="F20" s="234">
        <f>_xlfn.XLOOKUP($A20,'Change in Proportion Calc'!$A$5:$A$311,'Change in Proportion Calc'!O$5:O$311,"n",0,1)</f>
        <v>-2402500</v>
      </c>
      <c r="G20" s="234">
        <f>_xlfn.XLOOKUP($A20,'Change in Proportion Calc'!$A$5:$A$311,'Change in Proportion Calc'!P$5:P$311,"n",0,1)</f>
        <v>-1849924</v>
      </c>
      <c r="H20" s="54"/>
      <c r="I20" s="69">
        <v>-805577</v>
      </c>
      <c r="J20" s="69">
        <v>-805577</v>
      </c>
      <c r="K20" s="69">
        <v>-805577</v>
      </c>
      <c r="L20" s="69">
        <v>-805577</v>
      </c>
      <c r="M20" s="69">
        <v>-749184</v>
      </c>
      <c r="N20" s="54"/>
      <c r="O20" s="69">
        <v>-1507398</v>
      </c>
      <c r="P20" s="69">
        <v>-1507398</v>
      </c>
      <c r="Q20" s="69">
        <v>-1507398</v>
      </c>
      <c r="R20" s="69">
        <v>-1311436</v>
      </c>
      <c r="S20" s="69"/>
      <c r="T20" s="69">
        <v>928993</v>
      </c>
      <c r="U20" s="69">
        <v>928993</v>
      </c>
      <c r="V20" s="69">
        <v>826806</v>
      </c>
      <c r="W20" s="54"/>
      <c r="X20" s="69">
        <v>-1941965</v>
      </c>
      <c r="Y20" s="69">
        <v>-1903127</v>
      </c>
      <c r="Z20" s="54"/>
      <c r="AA20" s="108">
        <v>3023487</v>
      </c>
      <c r="AB20" s="54"/>
      <c r="AC20" s="108">
        <f>VLOOKUP(A20,'Change in Proportion Calc'!$A$5:$H$311,8,FALSE)+SUMIF($C$5:$AB$5,2026,C20:AB20)</f>
        <v>-2704960</v>
      </c>
      <c r="AE20" s="107">
        <f t="shared" si="2"/>
        <v>1755799</v>
      </c>
      <c r="AF20" s="107">
        <f t="shared" si="3"/>
        <v>20855198</v>
      </c>
      <c r="AH20" s="107"/>
      <c r="AI20" s="108"/>
      <c r="AJ20" s="108"/>
      <c r="AK20" s="213">
        <f t="shared" si="0"/>
        <v>2003</v>
      </c>
      <c r="AL20" s="107">
        <f t="shared" si="4"/>
        <v>-5689609</v>
      </c>
      <c r="AM20" s="107">
        <f t="shared" si="1"/>
        <v>-3888669</v>
      </c>
      <c r="AN20" s="107">
        <f t="shared" si="1"/>
        <v>-4519513</v>
      </c>
      <c r="AO20" s="107">
        <f t="shared" si="1"/>
        <v>-3151684</v>
      </c>
      <c r="AP20" s="107">
        <f t="shared" si="1"/>
        <v>-1849924</v>
      </c>
    </row>
    <row r="21" spans="1:42">
      <c r="A21" s="51">
        <v>2412</v>
      </c>
      <c r="B21" s="55" t="s">
        <v>14</v>
      </c>
      <c r="C21" s="234">
        <f>_xlfn.XLOOKUP($A21,'Change in Proportion Calc'!$A$5:$A$311,'Change in Proportion Calc'!L$5:L$311,"n",0,1)</f>
        <v>18572</v>
      </c>
      <c r="D21" s="234">
        <f>_xlfn.XLOOKUP($A21,'Change in Proportion Calc'!$A$5:$A$311,'Change in Proportion Calc'!M$5:M$311,"n",0,1)</f>
        <v>18572</v>
      </c>
      <c r="E21" s="234">
        <f>_xlfn.XLOOKUP($A21,'Change in Proportion Calc'!$A$5:$A$311,'Change in Proportion Calc'!N$5:N$311,"n",0,1)</f>
        <v>18572</v>
      </c>
      <c r="F21" s="234">
        <f>_xlfn.XLOOKUP($A21,'Change in Proportion Calc'!$A$5:$A$311,'Change in Proportion Calc'!O$5:O$311,"n",0,1)</f>
        <v>18572</v>
      </c>
      <c r="G21" s="234">
        <f>_xlfn.XLOOKUP($A21,'Change in Proportion Calc'!$A$5:$A$311,'Change in Proportion Calc'!P$5:P$311,"n",0,1)</f>
        <v>14299</v>
      </c>
      <c r="H21" s="54"/>
      <c r="I21" s="69">
        <v>25637</v>
      </c>
      <c r="J21" s="69">
        <v>25637</v>
      </c>
      <c r="K21" s="69">
        <v>25637</v>
      </c>
      <c r="L21" s="69">
        <v>25637</v>
      </c>
      <c r="M21" s="69">
        <v>23841</v>
      </c>
      <c r="N21" s="54"/>
      <c r="O21" s="69">
        <v>-15500</v>
      </c>
      <c r="P21" s="69">
        <v>-15500</v>
      </c>
      <c r="Q21" s="69">
        <v>-15500</v>
      </c>
      <c r="R21" s="69">
        <v>-13483</v>
      </c>
      <c r="S21" s="69"/>
      <c r="T21" s="69">
        <v>111977</v>
      </c>
      <c r="U21" s="69">
        <v>111977</v>
      </c>
      <c r="V21" s="69">
        <v>99658</v>
      </c>
      <c r="W21" s="54"/>
      <c r="X21" s="69">
        <v>219482</v>
      </c>
      <c r="Y21" s="69">
        <v>215090</v>
      </c>
      <c r="Z21" s="54"/>
      <c r="AA21" s="108">
        <v>82050</v>
      </c>
      <c r="AB21" s="54"/>
      <c r="AC21" s="108">
        <f>VLOOKUP(A21,'Change in Proportion Calc'!$A$5:$H$311,8,FALSE)+SUMIF($C$5:$AB$5,2026,C21:AB21)</f>
        <v>442218</v>
      </c>
      <c r="AE21" s="107">
        <f t="shared" si="2"/>
        <v>616064</v>
      </c>
      <c r="AF21" s="107">
        <f t="shared" si="3"/>
        <v>44483</v>
      </c>
      <c r="AH21" s="107"/>
      <c r="AI21" s="108"/>
      <c r="AJ21" s="108"/>
      <c r="AK21" s="213">
        <f t="shared" si="0"/>
        <v>2412</v>
      </c>
      <c r="AL21" s="107">
        <f t="shared" si="4"/>
        <v>355776</v>
      </c>
      <c r="AM21" s="107">
        <f t="shared" si="1"/>
        <v>128367</v>
      </c>
      <c r="AN21" s="107">
        <f t="shared" si="1"/>
        <v>30726</v>
      </c>
      <c r="AO21" s="107">
        <f t="shared" si="1"/>
        <v>42413</v>
      </c>
      <c r="AP21" s="107">
        <f t="shared" si="1"/>
        <v>14299</v>
      </c>
    </row>
    <row r="22" spans="1:42">
      <c r="A22" s="53">
        <v>2402</v>
      </c>
      <c r="B22" s="54" t="s">
        <v>15</v>
      </c>
      <c r="C22" s="234">
        <f>_xlfn.XLOOKUP($A22,'Change in Proportion Calc'!$A$5:$A$311,'Change in Proportion Calc'!L$5:L$311,"n",0,1)</f>
        <v>18899</v>
      </c>
      <c r="D22" s="234">
        <f>_xlfn.XLOOKUP($A22,'Change in Proportion Calc'!$A$5:$A$311,'Change in Proportion Calc'!M$5:M$311,"n",0,1)</f>
        <v>18899</v>
      </c>
      <c r="E22" s="234">
        <f>_xlfn.XLOOKUP($A22,'Change in Proportion Calc'!$A$5:$A$311,'Change in Proportion Calc'!N$5:N$311,"n",0,1)</f>
        <v>18899</v>
      </c>
      <c r="F22" s="234">
        <f>_xlfn.XLOOKUP($A22,'Change in Proportion Calc'!$A$5:$A$311,'Change in Proportion Calc'!O$5:O$311,"n",0,1)</f>
        <v>18899</v>
      </c>
      <c r="G22" s="234">
        <f>_xlfn.XLOOKUP($A22,'Change in Proportion Calc'!$A$5:$A$311,'Change in Proportion Calc'!P$5:P$311,"n",0,1)</f>
        <v>14551</v>
      </c>
      <c r="H22" s="54"/>
      <c r="I22" s="69">
        <v>50136</v>
      </c>
      <c r="J22" s="69">
        <v>50136</v>
      </c>
      <c r="K22" s="69">
        <v>50136</v>
      </c>
      <c r="L22" s="69">
        <v>50136</v>
      </c>
      <c r="M22" s="69">
        <v>46624</v>
      </c>
      <c r="N22" s="54"/>
      <c r="O22" s="69">
        <v>48792</v>
      </c>
      <c r="P22" s="69">
        <v>48792</v>
      </c>
      <c r="Q22" s="69">
        <v>48792</v>
      </c>
      <c r="R22" s="69">
        <v>42450</v>
      </c>
      <c r="S22" s="69"/>
      <c r="T22" s="69">
        <v>31818</v>
      </c>
      <c r="U22" s="69">
        <v>31818</v>
      </c>
      <c r="V22" s="69">
        <v>28316</v>
      </c>
      <c r="W22" s="54"/>
      <c r="X22" s="69">
        <v>28751</v>
      </c>
      <c r="Y22" s="69">
        <v>28178</v>
      </c>
      <c r="Z22" s="54"/>
      <c r="AA22" s="108">
        <v>14727</v>
      </c>
      <c r="AB22" s="54"/>
      <c r="AC22" s="108">
        <f>VLOOKUP(A22,'Change in Proportion Calc'!$A$5:$H$311,8,FALSE)+SUMIF($C$5:$AB$5,2026,C22:AB22)</f>
        <v>193123</v>
      </c>
      <c r="AE22" s="107">
        <f t="shared" si="2"/>
        <v>515525</v>
      </c>
      <c r="AF22" s="107">
        <f t="shared" si="3"/>
        <v>0</v>
      </c>
      <c r="AH22" s="107"/>
      <c r="AI22" s="108"/>
      <c r="AJ22" s="108"/>
      <c r="AK22" s="213">
        <f t="shared" si="0"/>
        <v>2402</v>
      </c>
      <c r="AL22" s="107">
        <f t="shared" si="4"/>
        <v>177823</v>
      </c>
      <c r="AM22" s="107">
        <f t="shared" si="1"/>
        <v>146143</v>
      </c>
      <c r="AN22" s="107">
        <f t="shared" si="1"/>
        <v>111485</v>
      </c>
      <c r="AO22" s="107">
        <f t="shared" si="1"/>
        <v>65523</v>
      </c>
      <c r="AP22" s="107">
        <f t="shared" si="1"/>
        <v>14551</v>
      </c>
    </row>
    <row r="23" spans="1:42">
      <c r="A23" s="51">
        <v>2361</v>
      </c>
      <c r="B23" s="55" t="s">
        <v>16</v>
      </c>
      <c r="C23" s="234">
        <f>_xlfn.XLOOKUP($A23,'Change in Proportion Calc'!$A$5:$A$311,'Change in Proportion Calc'!L$5:L$311,"n",0,1)</f>
        <v>-5497</v>
      </c>
      <c r="D23" s="234">
        <f>_xlfn.XLOOKUP($A23,'Change in Proportion Calc'!$A$5:$A$311,'Change in Proportion Calc'!M$5:M$311,"n",0,1)</f>
        <v>-5497</v>
      </c>
      <c r="E23" s="234">
        <f>_xlfn.XLOOKUP($A23,'Change in Proportion Calc'!$A$5:$A$311,'Change in Proportion Calc'!N$5:N$311,"n",0,1)</f>
        <v>-5497</v>
      </c>
      <c r="F23" s="234">
        <f>_xlfn.XLOOKUP($A23,'Change in Proportion Calc'!$A$5:$A$311,'Change in Proportion Calc'!O$5:O$311,"n",0,1)</f>
        <v>-5497</v>
      </c>
      <c r="G23" s="234">
        <f>_xlfn.XLOOKUP($A23,'Change in Proportion Calc'!$A$5:$A$311,'Change in Proportion Calc'!P$5:P$311,"n",0,1)</f>
        <v>-4230</v>
      </c>
      <c r="H23" s="54"/>
      <c r="I23" s="69">
        <v>-3856</v>
      </c>
      <c r="J23" s="69">
        <v>-3856</v>
      </c>
      <c r="K23" s="69">
        <v>-3856</v>
      </c>
      <c r="L23" s="69">
        <v>-3856</v>
      </c>
      <c r="M23" s="69">
        <v>-3585</v>
      </c>
      <c r="N23" s="54"/>
      <c r="O23" s="69">
        <v>-25652</v>
      </c>
      <c r="P23" s="69">
        <v>-25652</v>
      </c>
      <c r="Q23" s="69">
        <v>-25652</v>
      </c>
      <c r="R23" s="69">
        <v>-22315</v>
      </c>
      <c r="S23" s="69"/>
      <c r="T23" s="69">
        <v>14452</v>
      </c>
      <c r="U23" s="69">
        <v>14452</v>
      </c>
      <c r="V23" s="69">
        <v>12860</v>
      </c>
      <c r="W23" s="54"/>
      <c r="X23" s="69">
        <v>-13120</v>
      </c>
      <c r="Y23" s="69">
        <v>-12859</v>
      </c>
      <c r="Z23" s="54"/>
      <c r="AA23" s="108">
        <v>-14476</v>
      </c>
      <c r="AB23" s="54"/>
      <c r="AC23" s="108">
        <f>VLOOKUP(A23,'Change in Proportion Calc'!$A$5:$H$311,8,FALSE)+SUMIF($C$5:$AB$5,2026,C23:AB23)</f>
        <v>-48149</v>
      </c>
      <c r="AE23" s="107">
        <f t="shared" si="2"/>
        <v>27312</v>
      </c>
      <c r="AF23" s="107">
        <f t="shared" si="3"/>
        <v>127849</v>
      </c>
      <c r="AH23" s="107"/>
      <c r="AI23" s="108"/>
      <c r="AJ23" s="108"/>
      <c r="AK23" s="213">
        <f t="shared" si="0"/>
        <v>2361</v>
      </c>
      <c r="AL23" s="107">
        <f t="shared" si="4"/>
        <v>-33412</v>
      </c>
      <c r="AM23" s="107">
        <f t="shared" si="1"/>
        <v>-22145</v>
      </c>
      <c r="AN23" s="107">
        <f t="shared" si="1"/>
        <v>-31668</v>
      </c>
      <c r="AO23" s="107">
        <f t="shared" si="1"/>
        <v>-9082</v>
      </c>
      <c r="AP23" s="107">
        <f t="shared" si="1"/>
        <v>-4230</v>
      </c>
    </row>
    <row r="24" spans="1:42">
      <c r="A24" s="53">
        <v>8347</v>
      </c>
      <c r="B24" s="54" t="s">
        <v>17</v>
      </c>
      <c r="C24" s="234">
        <f>_xlfn.XLOOKUP($A24,'Change in Proportion Calc'!$A$5:$A$311,'Change in Proportion Calc'!L$5:L$311,"n",0,1)</f>
        <v>-35990</v>
      </c>
      <c r="D24" s="234">
        <f>_xlfn.XLOOKUP($A24,'Change in Proportion Calc'!$A$5:$A$311,'Change in Proportion Calc'!M$5:M$311,"n",0,1)</f>
        <v>-35990</v>
      </c>
      <c r="E24" s="234">
        <f>_xlfn.XLOOKUP($A24,'Change in Proportion Calc'!$A$5:$A$311,'Change in Proportion Calc'!N$5:N$311,"n",0,1)</f>
        <v>-35990</v>
      </c>
      <c r="F24" s="234">
        <f>_xlfn.XLOOKUP($A24,'Change in Proportion Calc'!$A$5:$A$311,'Change in Proportion Calc'!O$5:O$311,"n",0,1)</f>
        <v>-35990</v>
      </c>
      <c r="G24" s="234">
        <f>_xlfn.XLOOKUP($A24,'Change in Proportion Calc'!$A$5:$A$311,'Change in Proportion Calc'!P$5:P$311,"n",0,1)</f>
        <v>-27710</v>
      </c>
      <c r="H24" s="54"/>
      <c r="I24" s="69">
        <v>16641</v>
      </c>
      <c r="J24" s="69">
        <v>16641</v>
      </c>
      <c r="K24" s="69">
        <v>16641</v>
      </c>
      <c r="L24" s="69">
        <v>16641</v>
      </c>
      <c r="M24" s="69">
        <v>15475</v>
      </c>
      <c r="N24" s="54"/>
      <c r="O24" s="69">
        <v>27852</v>
      </c>
      <c r="P24" s="69">
        <v>27852</v>
      </c>
      <c r="Q24" s="69">
        <v>27852</v>
      </c>
      <c r="R24" s="69">
        <v>24232</v>
      </c>
      <c r="S24" s="69"/>
      <c r="T24" s="69">
        <v>-26852</v>
      </c>
      <c r="U24" s="69">
        <v>-26852</v>
      </c>
      <c r="V24" s="69">
        <v>-23896</v>
      </c>
      <c r="W24" s="54"/>
      <c r="X24" s="69">
        <v>13363</v>
      </c>
      <c r="Y24" s="69">
        <v>13097</v>
      </c>
      <c r="Z24" s="54"/>
      <c r="AA24" s="108">
        <v>-23480</v>
      </c>
      <c r="AB24" s="54"/>
      <c r="AC24" s="108">
        <f>VLOOKUP(A24,'Change in Proportion Calc'!$A$5:$H$311,8,FALSE)+SUMIF($C$5:$AB$5,2026,C24:AB24)</f>
        <v>-28466</v>
      </c>
      <c r="AE24" s="107">
        <f t="shared" si="2"/>
        <v>158431</v>
      </c>
      <c r="AF24" s="107">
        <f t="shared" si="3"/>
        <v>222418</v>
      </c>
      <c r="AH24" s="107"/>
      <c r="AI24" s="108"/>
      <c r="AJ24" s="108"/>
      <c r="AK24" s="213">
        <f t="shared" si="0"/>
        <v>8347</v>
      </c>
      <c r="AL24" s="107">
        <f t="shared" si="4"/>
        <v>-5252</v>
      </c>
      <c r="AM24" s="107">
        <f t="shared" si="4"/>
        <v>-15393</v>
      </c>
      <c r="AN24" s="107">
        <f t="shared" si="4"/>
        <v>4883</v>
      </c>
      <c r="AO24" s="107">
        <f t="shared" si="4"/>
        <v>-20515</v>
      </c>
      <c r="AP24" s="107">
        <f t="shared" si="4"/>
        <v>-27710</v>
      </c>
    </row>
    <row r="25" spans="1:42">
      <c r="A25" s="51">
        <v>2356</v>
      </c>
      <c r="B25" s="55" t="s">
        <v>18</v>
      </c>
      <c r="C25" s="234">
        <f>_xlfn.XLOOKUP($A25,'Change in Proportion Calc'!$A$5:$A$311,'Change in Proportion Calc'!L$5:L$311,"n",0,1)</f>
        <v>-15045</v>
      </c>
      <c r="D25" s="234">
        <f>_xlfn.XLOOKUP($A25,'Change in Proportion Calc'!$A$5:$A$311,'Change in Proportion Calc'!M$5:M$311,"n",0,1)</f>
        <v>-15045</v>
      </c>
      <c r="E25" s="234">
        <f>_xlfn.XLOOKUP($A25,'Change in Proportion Calc'!$A$5:$A$311,'Change in Proportion Calc'!N$5:N$311,"n",0,1)</f>
        <v>-15045</v>
      </c>
      <c r="F25" s="234">
        <f>_xlfn.XLOOKUP($A25,'Change in Proportion Calc'!$A$5:$A$311,'Change in Proportion Calc'!O$5:O$311,"n",0,1)</f>
        <v>-15045</v>
      </c>
      <c r="G25" s="234">
        <f>_xlfn.XLOOKUP($A25,'Change in Proportion Calc'!$A$5:$A$311,'Change in Proportion Calc'!P$5:P$311,"n",0,1)</f>
        <v>-11584</v>
      </c>
      <c r="H25" s="54"/>
      <c r="I25" s="69">
        <v>5350</v>
      </c>
      <c r="J25" s="69">
        <v>5350</v>
      </c>
      <c r="K25" s="69">
        <v>5350</v>
      </c>
      <c r="L25" s="69">
        <v>5350</v>
      </c>
      <c r="M25" s="69">
        <v>4973</v>
      </c>
      <c r="N25" s="54"/>
      <c r="O25" s="69">
        <v>6973</v>
      </c>
      <c r="P25" s="69">
        <v>6973</v>
      </c>
      <c r="Q25" s="69">
        <v>6973</v>
      </c>
      <c r="R25" s="69">
        <v>6065</v>
      </c>
      <c r="S25" s="69"/>
      <c r="T25" s="69">
        <v>12379</v>
      </c>
      <c r="U25" s="69">
        <v>12379</v>
      </c>
      <c r="V25" s="69">
        <v>11015</v>
      </c>
      <c r="W25" s="54"/>
      <c r="X25" s="69">
        <v>1296</v>
      </c>
      <c r="Y25" s="69">
        <v>1269</v>
      </c>
      <c r="Z25" s="54"/>
      <c r="AA25" s="108">
        <v>12035</v>
      </c>
      <c r="AB25" s="54"/>
      <c r="AC25" s="108">
        <f>VLOOKUP(A25,'Change in Proportion Calc'!$A$5:$H$311,8,FALSE)+SUMIF($C$5:$AB$5,2026,C25:AB25)</f>
        <v>22988</v>
      </c>
      <c r="AE25" s="107">
        <f t="shared" si="2"/>
        <v>65697</v>
      </c>
      <c r="AF25" s="107">
        <f t="shared" si="3"/>
        <v>71764</v>
      </c>
      <c r="AH25" s="107"/>
      <c r="AI25" s="108"/>
      <c r="AJ25" s="108"/>
      <c r="AK25" s="213">
        <f t="shared" si="0"/>
        <v>2356</v>
      </c>
      <c r="AL25" s="107">
        <f t="shared" si="4"/>
        <v>10926</v>
      </c>
      <c r="AM25" s="107">
        <f t="shared" si="4"/>
        <v>8293</v>
      </c>
      <c r="AN25" s="107">
        <f t="shared" si="4"/>
        <v>-3630</v>
      </c>
      <c r="AO25" s="107">
        <f t="shared" si="4"/>
        <v>-10072</v>
      </c>
      <c r="AP25" s="107">
        <f t="shared" si="4"/>
        <v>-11584</v>
      </c>
    </row>
    <row r="26" spans="1:42">
      <c r="A26" s="53">
        <v>7335</v>
      </c>
      <c r="B26" s="54" t="s">
        <v>19</v>
      </c>
      <c r="C26" s="234">
        <f>_xlfn.XLOOKUP($A26,'Change in Proportion Calc'!$A$5:$A$311,'Change in Proportion Calc'!L$5:L$311,"n",0,1)</f>
        <v>-14340</v>
      </c>
      <c r="D26" s="234">
        <f>_xlfn.XLOOKUP($A26,'Change in Proportion Calc'!$A$5:$A$311,'Change in Proportion Calc'!M$5:M$311,"n",0,1)</f>
        <v>-14340</v>
      </c>
      <c r="E26" s="234">
        <f>_xlfn.XLOOKUP($A26,'Change in Proportion Calc'!$A$5:$A$311,'Change in Proportion Calc'!N$5:N$311,"n",0,1)</f>
        <v>-14340</v>
      </c>
      <c r="F26" s="234">
        <f>_xlfn.XLOOKUP($A26,'Change in Proportion Calc'!$A$5:$A$311,'Change in Proportion Calc'!O$5:O$311,"n",0,1)</f>
        <v>-14340</v>
      </c>
      <c r="G26" s="234">
        <f>_xlfn.XLOOKUP($A26,'Change in Proportion Calc'!$A$5:$A$311,'Change in Proportion Calc'!P$5:P$311,"n",0,1)</f>
        <v>-11042</v>
      </c>
      <c r="H26" s="54"/>
      <c r="I26" s="69">
        <v>-21376</v>
      </c>
      <c r="J26" s="69">
        <v>-21376</v>
      </c>
      <c r="K26" s="69">
        <v>-21376</v>
      </c>
      <c r="L26" s="69">
        <v>-21376</v>
      </c>
      <c r="M26" s="69">
        <v>-19880</v>
      </c>
      <c r="N26" s="54"/>
      <c r="O26" s="69">
        <v>-39006</v>
      </c>
      <c r="P26" s="69">
        <v>-39006</v>
      </c>
      <c r="Q26" s="69">
        <v>-39006</v>
      </c>
      <c r="R26" s="69">
        <v>-33933</v>
      </c>
      <c r="S26" s="69"/>
      <c r="T26" s="69">
        <v>38706</v>
      </c>
      <c r="U26" s="69">
        <v>38706</v>
      </c>
      <c r="V26" s="69">
        <v>34446</v>
      </c>
      <c r="W26" s="54"/>
      <c r="X26" s="69">
        <v>-10610</v>
      </c>
      <c r="Y26" s="69">
        <v>-10396</v>
      </c>
      <c r="Z26" s="54"/>
      <c r="AA26" s="108">
        <v>-9761</v>
      </c>
      <c r="AB26" s="54"/>
      <c r="AC26" s="108">
        <f>VLOOKUP(A26,'Change in Proportion Calc'!$A$5:$H$311,8,FALSE)+SUMIF($C$5:$AB$5,2026,C26:AB26)</f>
        <v>-56387</v>
      </c>
      <c r="AE26" s="107">
        <f t="shared" si="2"/>
        <v>73152</v>
      </c>
      <c r="AF26" s="107">
        <f t="shared" si="3"/>
        <v>274751</v>
      </c>
      <c r="AH26" s="107"/>
      <c r="AI26" s="108"/>
      <c r="AJ26" s="108"/>
      <c r="AK26" s="213">
        <f t="shared" si="0"/>
        <v>7335</v>
      </c>
      <c r="AL26" s="107">
        <f t="shared" si="4"/>
        <v>-46412</v>
      </c>
      <c r="AM26" s="107">
        <f t="shared" si="4"/>
        <v>-40276</v>
      </c>
      <c r="AN26" s="107">
        <f t="shared" si="4"/>
        <v>-69649</v>
      </c>
      <c r="AO26" s="107">
        <f t="shared" si="4"/>
        <v>-34220</v>
      </c>
      <c r="AP26" s="107">
        <f t="shared" si="4"/>
        <v>-11042</v>
      </c>
    </row>
    <row r="27" spans="1:42">
      <c r="A27" s="51">
        <v>2434</v>
      </c>
      <c r="B27" s="55" t="s">
        <v>474</v>
      </c>
      <c r="C27" s="234">
        <f>_xlfn.XLOOKUP($A27,'Change in Proportion Calc'!$A$5:$A$311,'Change in Proportion Calc'!L$5:L$311,"n",0,1)</f>
        <v>7324</v>
      </c>
      <c r="D27" s="234">
        <f>_xlfn.XLOOKUP($A27,'Change in Proportion Calc'!$A$5:$A$311,'Change in Proportion Calc'!M$5:M$311,"n",0,1)</f>
        <v>7324</v>
      </c>
      <c r="E27" s="234">
        <f>_xlfn.XLOOKUP($A27,'Change in Proportion Calc'!$A$5:$A$311,'Change in Proportion Calc'!N$5:N$311,"n",0,1)</f>
        <v>7324</v>
      </c>
      <c r="F27" s="234">
        <f>_xlfn.XLOOKUP($A27,'Change in Proportion Calc'!$A$5:$A$311,'Change in Proportion Calc'!O$5:O$311,"n",0,1)</f>
        <v>7324</v>
      </c>
      <c r="G27" s="234">
        <f>_xlfn.XLOOKUP($A27,'Change in Proportion Calc'!$A$5:$A$311,'Change in Proportion Calc'!P$5:P$311,"n",0,1)</f>
        <v>5637</v>
      </c>
      <c r="H27" s="54"/>
      <c r="I27" s="69">
        <v>-2758</v>
      </c>
      <c r="J27" s="69">
        <v>-2758</v>
      </c>
      <c r="K27" s="69">
        <v>-2758</v>
      </c>
      <c r="L27" s="69">
        <v>-2758</v>
      </c>
      <c r="M27" s="69">
        <v>-2563</v>
      </c>
      <c r="N27" s="54"/>
      <c r="O27" s="69">
        <v>14146</v>
      </c>
      <c r="P27" s="69">
        <v>14146</v>
      </c>
      <c r="Q27" s="69">
        <v>14146</v>
      </c>
      <c r="R27" s="69">
        <v>12305</v>
      </c>
      <c r="S27" s="69"/>
      <c r="T27" s="69">
        <v>18271</v>
      </c>
      <c r="U27" s="69">
        <v>18271</v>
      </c>
      <c r="V27" s="69">
        <v>16259</v>
      </c>
      <c r="W27" s="54"/>
      <c r="X27" s="69">
        <v>46650</v>
      </c>
      <c r="Y27" s="69">
        <v>45717</v>
      </c>
      <c r="Z27" s="54"/>
      <c r="AA27" s="108">
        <v>19693</v>
      </c>
      <c r="AB27" s="54"/>
      <c r="AC27" s="108">
        <f>VLOOKUP(A27,'Change in Proportion Calc'!$A$5:$H$311,8,FALSE)+SUMIF($C$5:$AB$5,2026,C27:AB27)</f>
        <v>103326</v>
      </c>
      <c r="AE27" s="107">
        <f t="shared" si="2"/>
        <v>155777</v>
      </c>
      <c r="AF27" s="107">
        <f t="shared" si="3"/>
        <v>10837</v>
      </c>
      <c r="AH27" s="107"/>
      <c r="AI27" s="108"/>
      <c r="AJ27" s="108"/>
      <c r="AK27" s="213">
        <f t="shared" si="0"/>
        <v>2434</v>
      </c>
      <c r="AL27" s="107">
        <f t="shared" si="4"/>
        <v>82700</v>
      </c>
      <c r="AM27" s="107">
        <f t="shared" si="4"/>
        <v>34971</v>
      </c>
      <c r="AN27" s="107">
        <f t="shared" si="4"/>
        <v>16871</v>
      </c>
      <c r="AO27" s="107">
        <f t="shared" si="4"/>
        <v>4761</v>
      </c>
      <c r="AP27" s="107">
        <f t="shared" si="4"/>
        <v>5637</v>
      </c>
    </row>
    <row r="28" spans="1:42">
      <c r="A28" s="53">
        <v>2303</v>
      </c>
      <c r="B28" s="54" t="s">
        <v>20</v>
      </c>
      <c r="C28" s="234">
        <f>_xlfn.XLOOKUP($A28,'Change in Proportion Calc'!$A$5:$A$311,'Change in Proportion Calc'!L$5:L$311,"n",0,1)</f>
        <v>-20164</v>
      </c>
      <c r="D28" s="234">
        <f>_xlfn.XLOOKUP($A28,'Change in Proportion Calc'!$A$5:$A$311,'Change in Proportion Calc'!M$5:M$311,"n",0,1)</f>
        <v>-20164</v>
      </c>
      <c r="E28" s="234">
        <f>_xlfn.XLOOKUP($A28,'Change in Proportion Calc'!$A$5:$A$311,'Change in Proportion Calc'!N$5:N$311,"n",0,1)</f>
        <v>-20164</v>
      </c>
      <c r="F28" s="234">
        <f>_xlfn.XLOOKUP($A28,'Change in Proportion Calc'!$A$5:$A$311,'Change in Proportion Calc'!O$5:O$311,"n",0,1)</f>
        <v>-20164</v>
      </c>
      <c r="G28" s="234">
        <f>_xlfn.XLOOKUP($A28,'Change in Proportion Calc'!$A$5:$A$311,'Change in Proportion Calc'!P$5:P$311,"n",0,1)</f>
        <v>-15527</v>
      </c>
      <c r="H28" s="54"/>
      <c r="I28" s="69">
        <v>-29080</v>
      </c>
      <c r="J28" s="69">
        <v>-29080</v>
      </c>
      <c r="K28" s="69">
        <v>-29080</v>
      </c>
      <c r="L28" s="69">
        <v>-29080</v>
      </c>
      <c r="M28" s="69">
        <v>-27044</v>
      </c>
      <c r="N28" s="54"/>
      <c r="O28" s="69">
        <v>7183</v>
      </c>
      <c r="P28" s="69">
        <v>7183</v>
      </c>
      <c r="Q28" s="69">
        <v>7183</v>
      </c>
      <c r="R28" s="69">
        <v>6247</v>
      </c>
      <c r="S28" s="69"/>
      <c r="T28" s="69">
        <v>-18712</v>
      </c>
      <c r="U28" s="69">
        <v>-18712</v>
      </c>
      <c r="V28" s="69">
        <v>-16655</v>
      </c>
      <c r="W28" s="54"/>
      <c r="X28" s="69">
        <v>-13930</v>
      </c>
      <c r="Y28" s="69">
        <v>-13653</v>
      </c>
      <c r="Z28" s="54"/>
      <c r="AA28" s="108">
        <v>-20533</v>
      </c>
      <c r="AB28" s="54"/>
      <c r="AC28" s="108">
        <f>VLOOKUP(A28,'Change in Proportion Calc'!$A$5:$H$311,8,FALSE)+SUMIF($C$5:$AB$5,2026,C28:AB28)</f>
        <v>-95236</v>
      </c>
      <c r="AE28" s="107">
        <f t="shared" si="2"/>
        <v>20613</v>
      </c>
      <c r="AF28" s="107">
        <f t="shared" si="3"/>
        <v>259487</v>
      </c>
      <c r="AH28" s="107"/>
      <c r="AI28" s="108"/>
      <c r="AJ28" s="108"/>
      <c r="AK28" s="213">
        <f t="shared" si="0"/>
        <v>2303</v>
      </c>
      <c r="AL28" s="107">
        <f t="shared" si="4"/>
        <v>-74426</v>
      </c>
      <c r="AM28" s="107">
        <f t="shared" si="4"/>
        <v>-58716</v>
      </c>
      <c r="AN28" s="107">
        <f t="shared" si="4"/>
        <v>-42997</v>
      </c>
      <c r="AO28" s="107">
        <f t="shared" si="4"/>
        <v>-47208</v>
      </c>
      <c r="AP28" s="107">
        <f t="shared" si="4"/>
        <v>-15527</v>
      </c>
    </row>
    <row r="29" spans="1:42">
      <c r="A29" s="51">
        <v>20316</v>
      </c>
      <c r="B29" s="55" t="s">
        <v>21</v>
      </c>
      <c r="C29" s="234">
        <f>_xlfn.XLOOKUP($A29,'Change in Proportion Calc'!$A$5:$A$311,'Change in Proportion Calc'!L$5:L$311,"n",0,1)</f>
        <v>-2258</v>
      </c>
      <c r="D29" s="234">
        <f>_xlfn.XLOOKUP($A29,'Change in Proportion Calc'!$A$5:$A$311,'Change in Proportion Calc'!M$5:M$311,"n",0,1)</f>
        <v>-2258</v>
      </c>
      <c r="E29" s="234">
        <f>_xlfn.XLOOKUP($A29,'Change in Proportion Calc'!$A$5:$A$311,'Change in Proportion Calc'!N$5:N$311,"n",0,1)</f>
        <v>-2258</v>
      </c>
      <c r="F29" s="234">
        <f>_xlfn.XLOOKUP($A29,'Change in Proportion Calc'!$A$5:$A$311,'Change in Proportion Calc'!O$5:O$311,"n",0,1)</f>
        <v>-2258</v>
      </c>
      <c r="G29" s="234">
        <f>_xlfn.XLOOKUP($A29,'Change in Proportion Calc'!$A$5:$A$311,'Change in Proportion Calc'!P$5:P$311,"n",0,1)</f>
        <v>-1741</v>
      </c>
      <c r="H29" s="54"/>
      <c r="I29" s="69">
        <v>-4031</v>
      </c>
      <c r="J29" s="69">
        <v>-4031</v>
      </c>
      <c r="K29" s="69">
        <v>-4031</v>
      </c>
      <c r="L29" s="69">
        <v>-4031</v>
      </c>
      <c r="M29" s="69">
        <v>-3751</v>
      </c>
      <c r="N29" s="54"/>
      <c r="O29" s="69">
        <v>6431</v>
      </c>
      <c r="P29" s="69">
        <v>6431</v>
      </c>
      <c r="Q29" s="69">
        <v>6431</v>
      </c>
      <c r="R29" s="69">
        <v>5593</v>
      </c>
      <c r="S29" s="69"/>
      <c r="T29" s="69">
        <v>24609</v>
      </c>
      <c r="U29" s="69">
        <v>24609</v>
      </c>
      <c r="V29" s="69">
        <v>21904</v>
      </c>
      <c r="W29" s="54"/>
      <c r="X29" s="69">
        <v>13930</v>
      </c>
      <c r="Y29" s="69">
        <v>13653</v>
      </c>
      <c r="Z29" s="54"/>
      <c r="AA29" s="108">
        <v>2274</v>
      </c>
      <c r="AB29" s="54"/>
      <c r="AC29" s="108">
        <f>VLOOKUP(A29,'Change in Proportion Calc'!$A$5:$H$311,8,FALSE)+SUMIF($C$5:$AB$5,2026,C29:AB29)</f>
        <v>40955</v>
      </c>
      <c r="AE29" s="107">
        <f t="shared" si="2"/>
        <v>78621</v>
      </c>
      <c r="AF29" s="107">
        <f t="shared" si="3"/>
        <v>26617</v>
      </c>
      <c r="AH29" s="107"/>
      <c r="AI29" s="108"/>
      <c r="AJ29" s="108"/>
      <c r="AK29" s="213">
        <f t="shared" si="0"/>
        <v>20316</v>
      </c>
      <c r="AL29" s="107">
        <f t="shared" si="4"/>
        <v>38404</v>
      </c>
      <c r="AM29" s="107">
        <f t="shared" si="4"/>
        <v>22046</v>
      </c>
      <c r="AN29" s="107">
        <f t="shared" si="4"/>
        <v>-696</v>
      </c>
      <c r="AO29" s="107">
        <f t="shared" si="4"/>
        <v>-6009</v>
      </c>
      <c r="AP29" s="107">
        <f t="shared" si="4"/>
        <v>-1741</v>
      </c>
    </row>
    <row r="30" spans="1:42">
      <c r="A30" s="53">
        <v>23121</v>
      </c>
      <c r="B30" s="54" t="s">
        <v>22</v>
      </c>
      <c r="C30" s="234">
        <f>_xlfn.XLOOKUP($A30,'Change in Proportion Calc'!$A$5:$A$311,'Change in Proportion Calc'!L$5:L$311,"n",0,1)</f>
        <v>5412</v>
      </c>
      <c r="D30" s="234">
        <f>_xlfn.XLOOKUP($A30,'Change in Proportion Calc'!$A$5:$A$311,'Change in Proportion Calc'!M$5:M$311,"n",0,1)</f>
        <v>5412</v>
      </c>
      <c r="E30" s="234">
        <f>_xlfn.XLOOKUP($A30,'Change in Proportion Calc'!$A$5:$A$311,'Change in Proportion Calc'!N$5:N$311,"n",0,1)</f>
        <v>5412</v>
      </c>
      <c r="F30" s="234">
        <f>_xlfn.XLOOKUP($A30,'Change in Proportion Calc'!$A$5:$A$311,'Change in Proportion Calc'!O$5:O$311,"n",0,1)</f>
        <v>5412</v>
      </c>
      <c r="G30" s="234">
        <f>_xlfn.XLOOKUP($A30,'Change in Proportion Calc'!$A$5:$A$311,'Change in Proportion Calc'!P$5:P$311,"n",0,1)</f>
        <v>4165</v>
      </c>
      <c r="H30" s="54"/>
      <c r="I30" s="69">
        <v>7999</v>
      </c>
      <c r="J30" s="69">
        <v>7999</v>
      </c>
      <c r="K30" s="69">
        <v>7999</v>
      </c>
      <c r="L30" s="69">
        <v>7999</v>
      </c>
      <c r="M30" s="69">
        <v>7440</v>
      </c>
      <c r="N30" s="54"/>
      <c r="O30" s="69">
        <v>1808</v>
      </c>
      <c r="P30" s="69">
        <v>1808</v>
      </c>
      <c r="Q30" s="69">
        <v>1808</v>
      </c>
      <c r="R30" s="69">
        <v>1575</v>
      </c>
      <c r="S30" s="69"/>
      <c r="T30" s="69">
        <v>19730</v>
      </c>
      <c r="U30" s="69">
        <v>19730</v>
      </c>
      <c r="V30" s="69">
        <v>17558</v>
      </c>
      <c r="W30" s="54"/>
      <c r="X30" s="69">
        <v>-18870</v>
      </c>
      <c r="Y30" s="69">
        <v>-18495</v>
      </c>
      <c r="Z30" s="54"/>
      <c r="AA30" s="108">
        <v>-10856</v>
      </c>
      <c r="AB30" s="54"/>
      <c r="AC30" s="108">
        <f>VLOOKUP(A30,'Change in Proportion Calc'!$A$5:$H$311,8,FALSE)+SUMIF($C$5:$AB$5,2026,C30:AB30)</f>
        <v>5223</v>
      </c>
      <c r="AE30" s="107">
        <f t="shared" si="2"/>
        <v>99729</v>
      </c>
      <c r="AF30" s="107">
        <f t="shared" si="3"/>
        <v>18495</v>
      </c>
      <c r="AH30" s="107"/>
      <c r="AI30" s="108"/>
      <c r="AJ30" s="108"/>
      <c r="AK30" s="213">
        <f t="shared" si="0"/>
        <v>23121</v>
      </c>
      <c r="AL30" s="107">
        <f t="shared" si="4"/>
        <v>16454</v>
      </c>
      <c r="AM30" s="107">
        <f t="shared" si="4"/>
        <v>32777</v>
      </c>
      <c r="AN30" s="107">
        <f t="shared" si="4"/>
        <v>14986</v>
      </c>
      <c r="AO30" s="107">
        <f t="shared" si="4"/>
        <v>12852</v>
      </c>
      <c r="AP30" s="107">
        <f t="shared" si="4"/>
        <v>4165</v>
      </c>
    </row>
    <row r="31" spans="1:42">
      <c r="A31" s="51">
        <v>3004</v>
      </c>
      <c r="B31" s="55" t="s">
        <v>23</v>
      </c>
      <c r="C31" s="234">
        <f>_xlfn.XLOOKUP($A31,'Change in Proportion Calc'!$A$5:$A$311,'Change in Proportion Calc'!L$5:L$311,"n",0,1)</f>
        <v>-77126</v>
      </c>
      <c r="D31" s="234">
        <f>_xlfn.XLOOKUP($A31,'Change in Proportion Calc'!$A$5:$A$311,'Change in Proportion Calc'!M$5:M$311,"n",0,1)</f>
        <v>-77126</v>
      </c>
      <c r="E31" s="234">
        <f>_xlfn.XLOOKUP($A31,'Change in Proportion Calc'!$A$5:$A$311,'Change in Proportion Calc'!N$5:N$311,"n",0,1)</f>
        <v>-77126</v>
      </c>
      <c r="F31" s="234">
        <f>_xlfn.XLOOKUP($A31,'Change in Proportion Calc'!$A$5:$A$311,'Change in Proportion Calc'!O$5:O$311,"n",0,1)</f>
        <v>-77126</v>
      </c>
      <c r="G31" s="234">
        <f>_xlfn.XLOOKUP($A31,'Change in Proportion Calc'!$A$5:$A$311,'Change in Proportion Calc'!P$5:P$311,"n",0,1)</f>
        <v>-59385</v>
      </c>
      <c r="H31" s="54"/>
      <c r="I31" s="69">
        <v>-106009</v>
      </c>
      <c r="J31" s="69">
        <v>-106009</v>
      </c>
      <c r="K31" s="69">
        <v>-106009</v>
      </c>
      <c r="L31" s="69">
        <v>-106009</v>
      </c>
      <c r="M31" s="69">
        <v>-98590</v>
      </c>
      <c r="N31" s="54"/>
      <c r="O31" s="69">
        <v>90959</v>
      </c>
      <c r="P31" s="69">
        <v>90959</v>
      </c>
      <c r="Q31" s="69">
        <v>90959</v>
      </c>
      <c r="R31" s="69">
        <v>79136</v>
      </c>
      <c r="S31" s="69"/>
      <c r="T31" s="69">
        <v>-108283</v>
      </c>
      <c r="U31" s="69">
        <v>-108283</v>
      </c>
      <c r="V31" s="69">
        <v>-96374</v>
      </c>
      <c r="W31" s="54"/>
      <c r="X31" s="69">
        <v>89332</v>
      </c>
      <c r="Y31" s="69">
        <v>87543</v>
      </c>
      <c r="Z31" s="54"/>
      <c r="AA31" s="108">
        <v>-61683</v>
      </c>
      <c r="AB31" s="54"/>
      <c r="AC31" s="108">
        <f>VLOOKUP(A31,'Change in Proportion Calc'!$A$5:$H$311,8,FALSE)+SUMIF($C$5:$AB$5,2026,C31:AB31)</f>
        <v>-172810</v>
      </c>
      <c r="AE31" s="107">
        <f t="shared" si="2"/>
        <v>348597</v>
      </c>
      <c r="AF31" s="107">
        <f t="shared" si="3"/>
        <v>989163</v>
      </c>
      <c r="AH31" s="107"/>
      <c r="AI31" s="108"/>
      <c r="AJ31" s="108"/>
      <c r="AK31" s="213">
        <f t="shared" si="0"/>
        <v>3004</v>
      </c>
      <c r="AL31" s="107">
        <f t="shared" si="4"/>
        <v>-112916</v>
      </c>
      <c r="AM31" s="107">
        <f t="shared" si="4"/>
        <v>-188550</v>
      </c>
      <c r="AN31" s="107">
        <f t="shared" si="4"/>
        <v>-103999</v>
      </c>
      <c r="AO31" s="107">
        <f t="shared" si="4"/>
        <v>-175716</v>
      </c>
      <c r="AP31" s="107">
        <f t="shared" si="4"/>
        <v>-59385</v>
      </c>
    </row>
    <row r="32" spans="1:42">
      <c r="A32" s="53">
        <v>16050</v>
      </c>
      <c r="B32" s="54" t="s">
        <v>24</v>
      </c>
      <c r="C32" s="234">
        <f>_xlfn.XLOOKUP($A32,'Change in Proportion Calc'!$A$5:$A$311,'Change in Proportion Calc'!L$5:L$311,"n",0,1)</f>
        <v>-47174</v>
      </c>
      <c r="D32" s="234">
        <f>_xlfn.XLOOKUP($A32,'Change in Proportion Calc'!$A$5:$A$311,'Change in Proportion Calc'!M$5:M$311,"n",0,1)</f>
        <v>-47174</v>
      </c>
      <c r="E32" s="234">
        <f>_xlfn.XLOOKUP($A32,'Change in Proportion Calc'!$A$5:$A$311,'Change in Proportion Calc'!N$5:N$311,"n",0,1)</f>
        <v>-47174</v>
      </c>
      <c r="F32" s="234">
        <f>_xlfn.XLOOKUP($A32,'Change in Proportion Calc'!$A$5:$A$311,'Change in Proportion Calc'!O$5:O$311,"n",0,1)</f>
        <v>-47174</v>
      </c>
      <c r="G32" s="234">
        <f>_xlfn.XLOOKUP($A32,'Change in Proportion Calc'!$A$5:$A$311,'Change in Proportion Calc'!P$5:P$311,"n",0,1)</f>
        <v>-36325</v>
      </c>
      <c r="H32" s="54"/>
      <c r="I32" s="69">
        <v>-115964</v>
      </c>
      <c r="J32" s="69">
        <v>-115964</v>
      </c>
      <c r="K32" s="69">
        <v>-115964</v>
      </c>
      <c r="L32" s="69">
        <v>-115964</v>
      </c>
      <c r="M32" s="69">
        <v>-107847</v>
      </c>
      <c r="N32" s="54"/>
      <c r="O32" s="69">
        <v>17634</v>
      </c>
      <c r="P32" s="69">
        <v>17634</v>
      </c>
      <c r="Q32" s="69">
        <v>17634</v>
      </c>
      <c r="R32" s="69">
        <v>15340</v>
      </c>
      <c r="S32" s="69"/>
      <c r="T32" s="69">
        <v>-57260</v>
      </c>
      <c r="U32" s="69">
        <v>-57260</v>
      </c>
      <c r="V32" s="69">
        <v>-50962</v>
      </c>
      <c r="W32" s="54"/>
      <c r="X32" s="69">
        <v>59041</v>
      </c>
      <c r="Y32" s="69">
        <v>57862</v>
      </c>
      <c r="Z32" s="54"/>
      <c r="AA32" s="108">
        <v>24237</v>
      </c>
      <c r="AB32" s="54"/>
      <c r="AC32" s="108">
        <f>VLOOKUP(A32,'Change in Proportion Calc'!$A$5:$H$311,8,FALSE)+SUMIF($C$5:$AB$5,2026,C32:AB32)</f>
        <v>-119486</v>
      </c>
      <c r="AE32" s="107">
        <f t="shared" si="2"/>
        <v>108470</v>
      </c>
      <c r="AF32" s="107">
        <f t="shared" si="3"/>
        <v>788982</v>
      </c>
      <c r="AH32" s="107"/>
      <c r="AI32" s="108"/>
      <c r="AJ32" s="108"/>
      <c r="AK32" s="213">
        <f t="shared" si="0"/>
        <v>16050</v>
      </c>
      <c r="AL32" s="107">
        <f t="shared" si="4"/>
        <v>-144902</v>
      </c>
      <c r="AM32" s="107">
        <f t="shared" si="4"/>
        <v>-196466</v>
      </c>
      <c r="AN32" s="107">
        <f t="shared" si="4"/>
        <v>-147798</v>
      </c>
      <c r="AO32" s="107">
        <f t="shared" si="4"/>
        <v>-155021</v>
      </c>
      <c r="AP32" s="107">
        <f t="shared" si="4"/>
        <v>-36325</v>
      </c>
    </row>
    <row r="33" spans="1:42">
      <c r="A33" s="51">
        <v>14043</v>
      </c>
      <c r="B33" s="55" t="s">
        <v>25</v>
      </c>
      <c r="C33" s="234">
        <f>_xlfn.XLOOKUP($A33,'Change in Proportion Calc'!$A$5:$A$311,'Change in Proportion Calc'!L$5:L$311,"n",0,1)</f>
        <v>-76547</v>
      </c>
      <c r="D33" s="234">
        <f>_xlfn.XLOOKUP($A33,'Change in Proportion Calc'!$A$5:$A$311,'Change in Proportion Calc'!M$5:M$311,"n",0,1)</f>
        <v>-76547</v>
      </c>
      <c r="E33" s="234">
        <f>_xlfn.XLOOKUP($A33,'Change in Proportion Calc'!$A$5:$A$311,'Change in Proportion Calc'!N$5:N$311,"n",0,1)</f>
        <v>-76547</v>
      </c>
      <c r="F33" s="234">
        <f>_xlfn.XLOOKUP($A33,'Change in Proportion Calc'!$A$5:$A$311,'Change in Proportion Calc'!O$5:O$311,"n",0,1)</f>
        <v>-76547</v>
      </c>
      <c r="G33" s="234">
        <f>_xlfn.XLOOKUP($A33,'Change in Proportion Calc'!$A$5:$A$311,'Change in Proportion Calc'!P$5:P$311,"n",0,1)</f>
        <v>-58939</v>
      </c>
      <c r="H33" s="54"/>
      <c r="I33" s="69">
        <v>-114521</v>
      </c>
      <c r="J33" s="69">
        <v>-114521</v>
      </c>
      <c r="K33" s="69">
        <v>-114521</v>
      </c>
      <c r="L33" s="69">
        <v>-114521</v>
      </c>
      <c r="M33" s="69">
        <v>-106507</v>
      </c>
      <c r="N33" s="54"/>
      <c r="O33" s="69">
        <v>119749</v>
      </c>
      <c r="P33" s="69">
        <v>119749</v>
      </c>
      <c r="Q33" s="69">
        <v>119749</v>
      </c>
      <c r="R33" s="69">
        <v>104180</v>
      </c>
      <c r="S33" s="69"/>
      <c r="T33" s="69">
        <v>95839</v>
      </c>
      <c r="U33" s="69">
        <v>95839</v>
      </c>
      <c r="V33" s="69">
        <v>85299</v>
      </c>
      <c r="W33" s="54"/>
      <c r="X33" s="69">
        <v>-96863</v>
      </c>
      <c r="Y33" s="69">
        <v>-94928</v>
      </c>
      <c r="Z33" s="54"/>
      <c r="AA33" s="108">
        <v>-372538</v>
      </c>
      <c r="AB33" s="54"/>
      <c r="AC33" s="108">
        <f>VLOOKUP(A33,'Change in Proportion Calc'!$A$5:$H$311,8,FALSE)+SUMIF($C$5:$AB$5,2026,C33:AB33)</f>
        <v>-444881</v>
      </c>
      <c r="AE33" s="107">
        <f t="shared" si="2"/>
        <v>524816</v>
      </c>
      <c r="AF33" s="107">
        <f t="shared" si="3"/>
        <v>910125</v>
      </c>
      <c r="AH33" s="107"/>
      <c r="AI33" s="108"/>
      <c r="AJ33" s="108"/>
      <c r="AK33" s="213">
        <f t="shared" si="0"/>
        <v>14043</v>
      </c>
      <c r="AL33" s="107">
        <f t="shared" si="4"/>
        <v>-70408</v>
      </c>
      <c r="AM33" s="107">
        <f t="shared" si="4"/>
        <v>13980</v>
      </c>
      <c r="AN33" s="107">
        <f t="shared" si="4"/>
        <v>-86888</v>
      </c>
      <c r="AO33" s="107">
        <f t="shared" si="4"/>
        <v>-183054</v>
      </c>
      <c r="AP33" s="107">
        <f t="shared" si="4"/>
        <v>-58939</v>
      </c>
    </row>
    <row r="34" spans="1:42">
      <c r="A34" s="53" t="s">
        <v>506</v>
      </c>
      <c r="B34" s="54" t="s">
        <v>26</v>
      </c>
      <c r="C34" s="234">
        <f>_xlfn.XLOOKUP($A34,'Change in Proportion Calc'!$A$5:$A$311,'Change in Proportion Calc'!L$5:L$311,"n",0,1)</f>
        <v>1018140</v>
      </c>
      <c r="D34" s="234">
        <f>_xlfn.XLOOKUP($A34,'Change in Proportion Calc'!$A$5:$A$311,'Change in Proportion Calc'!M$5:M$311,"n",0,1)</f>
        <v>1018140</v>
      </c>
      <c r="E34" s="234">
        <f>_xlfn.XLOOKUP($A34,'Change in Proportion Calc'!$A$5:$A$311,'Change in Proportion Calc'!N$5:N$311,"n",0,1)</f>
        <v>1018140</v>
      </c>
      <c r="F34" s="234">
        <f>_xlfn.XLOOKUP($A34,'Change in Proportion Calc'!$A$5:$A$311,'Change in Proportion Calc'!O$5:O$311,"n",0,1)</f>
        <v>1018140</v>
      </c>
      <c r="G34" s="234">
        <f>_xlfn.XLOOKUP($A34,'Change in Proportion Calc'!$A$5:$A$311,'Change in Proportion Calc'!P$5:P$311,"n",0,1)</f>
        <v>783966</v>
      </c>
      <c r="H34" s="54"/>
      <c r="I34" s="69">
        <v>813464</v>
      </c>
      <c r="J34" s="69">
        <v>813464</v>
      </c>
      <c r="K34" s="69">
        <v>813464</v>
      </c>
      <c r="L34" s="69">
        <v>813464</v>
      </c>
      <c r="M34" s="69">
        <v>756524</v>
      </c>
      <c r="N34" s="54"/>
      <c r="O34" s="69">
        <v>-483080</v>
      </c>
      <c r="P34" s="69">
        <v>-483080</v>
      </c>
      <c r="Q34" s="69">
        <v>-483080</v>
      </c>
      <c r="R34" s="69">
        <v>-420280</v>
      </c>
      <c r="S34" s="69"/>
      <c r="T34" s="69">
        <v>-646844</v>
      </c>
      <c r="U34" s="69">
        <v>-646844</v>
      </c>
      <c r="V34" s="69">
        <v>-575689</v>
      </c>
      <c r="W34" s="54"/>
      <c r="X34" s="69">
        <v>312700</v>
      </c>
      <c r="Y34" s="69">
        <v>306448</v>
      </c>
      <c r="Z34" s="54"/>
      <c r="AA34" s="108">
        <v>-750885</v>
      </c>
      <c r="AB34" s="54"/>
      <c r="AC34" s="108">
        <f>VLOOKUP(A34,'Change in Proportion Calc'!$A$5:$H$311,8,FALSE)+SUMIF($C$5:$AB$5,2026,C34:AB34)</f>
        <v>263495</v>
      </c>
      <c r="AE34" s="107">
        <f t="shared" si="2"/>
        <v>8359890</v>
      </c>
      <c r="AF34" s="107">
        <f t="shared" si="3"/>
        <v>2608973</v>
      </c>
      <c r="AH34" s="107"/>
      <c r="AI34" s="108"/>
      <c r="AJ34" s="108"/>
      <c r="AK34" s="213" t="str">
        <f t="shared" si="0"/>
        <v>P3010</v>
      </c>
      <c r="AL34" s="107">
        <f t="shared" si="4"/>
        <v>1008128</v>
      </c>
      <c r="AM34" s="107">
        <f t="shared" si="4"/>
        <v>772835</v>
      </c>
      <c r="AN34" s="107">
        <f t="shared" si="4"/>
        <v>1411324</v>
      </c>
      <c r="AO34" s="107">
        <f t="shared" si="4"/>
        <v>1774664</v>
      </c>
      <c r="AP34" s="107">
        <f t="shared" si="4"/>
        <v>783966</v>
      </c>
    </row>
    <row r="35" spans="1:42">
      <c r="A35" s="51">
        <v>29086</v>
      </c>
      <c r="B35" s="55" t="s">
        <v>27</v>
      </c>
      <c r="C35" s="234">
        <f>_xlfn.XLOOKUP($A35,'Change in Proportion Calc'!$A$5:$A$311,'Change in Proportion Calc'!L$5:L$311,"n",0,1)</f>
        <v>-208088</v>
      </c>
      <c r="D35" s="234">
        <f>_xlfn.XLOOKUP($A35,'Change in Proportion Calc'!$A$5:$A$311,'Change in Proportion Calc'!M$5:M$311,"n",0,1)</f>
        <v>-208088</v>
      </c>
      <c r="E35" s="234">
        <f>_xlfn.XLOOKUP($A35,'Change in Proportion Calc'!$A$5:$A$311,'Change in Proportion Calc'!N$5:N$311,"n",0,1)</f>
        <v>-208088</v>
      </c>
      <c r="F35" s="234">
        <f>_xlfn.XLOOKUP($A35,'Change in Proportion Calc'!$A$5:$A$311,'Change in Proportion Calc'!O$5:O$311,"n",0,1)</f>
        <v>-208088</v>
      </c>
      <c r="G35" s="234">
        <f>_xlfn.XLOOKUP($A35,'Change in Proportion Calc'!$A$5:$A$311,'Change in Proportion Calc'!P$5:P$311,"n",0,1)</f>
        <v>-160229</v>
      </c>
      <c r="H35" s="54"/>
      <c r="I35" s="69">
        <v>-50628</v>
      </c>
      <c r="J35" s="69">
        <v>-50628</v>
      </c>
      <c r="K35" s="69">
        <v>-50628</v>
      </c>
      <c r="L35" s="69">
        <v>-50628</v>
      </c>
      <c r="M35" s="69">
        <v>-47086</v>
      </c>
      <c r="N35" s="54"/>
      <c r="O35" s="69">
        <v>761830</v>
      </c>
      <c r="P35" s="69">
        <v>761830</v>
      </c>
      <c r="Q35" s="69">
        <v>761830</v>
      </c>
      <c r="R35" s="69">
        <v>662790</v>
      </c>
      <c r="S35" s="69"/>
      <c r="T35" s="69">
        <v>-36093</v>
      </c>
      <c r="U35" s="69">
        <v>-36093</v>
      </c>
      <c r="V35" s="69">
        <v>-32123</v>
      </c>
      <c r="W35" s="54"/>
      <c r="X35" s="69">
        <v>-159387</v>
      </c>
      <c r="Y35" s="69">
        <v>-156201</v>
      </c>
      <c r="Z35" s="54"/>
      <c r="AA35" s="108">
        <v>64375</v>
      </c>
      <c r="AB35" s="54"/>
      <c r="AC35" s="108">
        <f>VLOOKUP(A35,'Change in Proportion Calc'!$A$5:$H$311,8,FALSE)+SUMIF($C$5:$AB$5,2026,C35:AB35)</f>
        <v>372009</v>
      </c>
      <c r="AE35" s="107">
        <f t="shared" si="2"/>
        <v>2186450</v>
      </c>
      <c r="AF35" s="107">
        <f t="shared" si="3"/>
        <v>1415968</v>
      </c>
      <c r="AH35" s="107"/>
      <c r="AI35" s="108"/>
      <c r="AJ35" s="108"/>
      <c r="AK35" s="213">
        <f t="shared" si="0"/>
        <v>29086</v>
      </c>
      <c r="AL35" s="107">
        <f t="shared" si="4"/>
        <v>310820</v>
      </c>
      <c r="AM35" s="107">
        <f t="shared" si="4"/>
        <v>470991</v>
      </c>
      <c r="AN35" s="107">
        <f t="shared" si="4"/>
        <v>404074</v>
      </c>
      <c r="AO35" s="107">
        <f t="shared" si="4"/>
        <v>-255174</v>
      </c>
      <c r="AP35" s="107">
        <f t="shared" si="4"/>
        <v>-160229</v>
      </c>
    </row>
    <row r="36" spans="1:42">
      <c r="A36" s="53">
        <v>16051</v>
      </c>
      <c r="B36" s="54" t="s">
        <v>28</v>
      </c>
      <c r="C36" s="234">
        <f>_xlfn.XLOOKUP($A36,'Change in Proportion Calc'!$A$5:$A$311,'Change in Proportion Calc'!L$5:L$311,"n",0,1)</f>
        <v>-69646</v>
      </c>
      <c r="D36" s="234">
        <f>_xlfn.XLOOKUP($A36,'Change in Proportion Calc'!$A$5:$A$311,'Change in Proportion Calc'!M$5:M$311,"n",0,1)</f>
        <v>-69646</v>
      </c>
      <c r="E36" s="234">
        <f>_xlfn.XLOOKUP($A36,'Change in Proportion Calc'!$A$5:$A$311,'Change in Proportion Calc'!N$5:N$311,"n",0,1)</f>
        <v>-69646</v>
      </c>
      <c r="F36" s="234">
        <f>_xlfn.XLOOKUP($A36,'Change in Proportion Calc'!$A$5:$A$311,'Change in Proportion Calc'!O$5:O$311,"n",0,1)</f>
        <v>-69646</v>
      </c>
      <c r="G36" s="234">
        <f>_xlfn.XLOOKUP($A36,'Change in Proportion Calc'!$A$5:$A$311,'Change in Proportion Calc'!P$5:P$311,"n",0,1)</f>
        <v>-53629</v>
      </c>
      <c r="H36" s="54"/>
      <c r="I36" s="69">
        <v>-60926</v>
      </c>
      <c r="J36" s="69">
        <v>-60926</v>
      </c>
      <c r="K36" s="69">
        <v>-60926</v>
      </c>
      <c r="L36" s="69">
        <v>-60926</v>
      </c>
      <c r="M36" s="69">
        <v>-56662</v>
      </c>
      <c r="N36" s="54"/>
      <c r="O36" s="69">
        <v>119466</v>
      </c>
      <c r="P36" s="69">
        <v>119466</v>
      </c>
      <c r="Q36" s="69">
        <v>119466</v>
      </c>
      <c r="R36" s="69">
        <v>103934</v>
      </c>
      <c r="S36" s="69"/>
      <c r="T36" s="69">
        <v>-93870</v>
      </c>
      <c r="U36" s="69">
        <v>-93870</v>
      </c>
      <c r="V36" s="69">
        <v>-83543</v>
      </c>
      <c r="W36" s="54"/>
      <c r="X36" s="69">
        <v>4536</v>
      </c>
      <c r="Y36" s="69">
        <v>4443</v>
      </c>
      <c r="Z36" s="54"/>
      <c r="AA36" s="108">
        <v>81794</v>
      </c>
      <c r="AB36" s="54"/>
      <c r="AC36" s="108">
        <f>VLOOKUP(A36,'Change in Proportion Calc'!$A$5:$H$311,8,FALSE)+SUMIF($C$5:$AB$5,2026,C36:AB36)</f>
        <v>-18646</v>
      </c>
      <c r="AE36" s="107">
        <f t="shared" si="2"/>
        <v>347309</v>
      </c>
      <c r="AF36" s="107">
        <f t="shared" si="3"/>
        <v>749066</v>
      </c>
      <c r="AH36" s="107"/>
      <c r="AI36" s="108"/>
      <c r="AJ36" s="108"/>
      <c r="AK36" s="213">
        <f t="shared" si="0"/>
        <v>16051</v>
      </c>
      <c r="AL36" s="107">
        <f t="shared" si="4"/>
        <v>-100533</v>
      </c>
      <c r="AM36" s="107">
        <f t="shared" si="4"/>
        <v>-94649</v>
      </c>
      <c r="AN36" s="107">
        <f t="shared" si="4"/>
        <v>-26638</v>
      </c>
      <c r="AO36" s="107">
        <f t="shared" si="4"/>
        <v>-126308</v>
      </c>
      <c r="AP36" s="107">
        <f t="shared" si="4"/>
        <v>-53629</v>
      </c>
    </row>
    <row r="37" spans="1:42">
      <c r="A37" s="51">
        <v>26077</v>
      </c>
      <c r="B37" s="55" t="s">
        <v>29</v>
      </c>
      <c r="C37" s="234">
        <f>_xlfn.XLOOKUP($A37,'Change in Proportion Calc'!$A$5:$A$311,'Change in Proportion Calc'!L$5:L$311,"n",0,1)</f>
        <v>-385</v>
      </c>
      <c r="D37" s="234">
        <f>_xlfn.XLOOKUP($A37,'Change in Proportion Calc'!$A$5:$A$311,'Change in Proportion Calc'!M$5:M$311,"n",0,1)</f>
        <v>-385</v>
      </c>
      <c r="E37" s="234">
        <f>_xlfn.XLOOKUP($A37,'Change in Proportion Calc'!$A$5:$A$311,'Change in Proportion Calc'!N$5:N$311,"n",0,1)</f>
        <v>-385</v>
      </c>
      <c r="F37" s="234">
        <f>_xlfn.XLOOKUP($A37,'Change in Proportion Calc'!$A$5:$A$311,'Change in Proportion Calc'!O$5:O$311,"n",0,1)</f>
        <v>-385</v>
      </c>
      <c r="G37" s="234">
        <f>_xlfn.XLOOKUP($A37,'Change in Proportion Calc'!$A$5:$A$311,'Change in Proportion Calc'!P$5:P$311,"n",0,1)</f>
        <v>-294</v>
      </c>
      <c r="H37" s="54"/>
      <c r="I37" s="69">
        <v>13738</v>
      </c>
      <c r="J37" s="69">
        <v>13738</v>
      </c>
      <c r="K37" s="69">
        <v>13738</v>
      </c>
      <c r="L37" s="69">
        <v>13738</v>
      </c>
      <c r="M37" s="69">
        <v>12777</v>
      </c>
      <c r="N37" s="54"/>
      <c r="O37" s="69">
        <v>7498</v>
      </c>
      <c r="P37" s="69">
        <v>7498</v>
      </c>
      <c r="Q37" s="69">
        <v>7498</v>
      </c>
      <c r="R37" s="69">
        <v>6521</v>
      </c>
      <c r="S37" s="69"/>
      <c r="T37" s="69">
        <v>11433</v>
      </c>
      <c r="U37" s="69">
        <v>11433</v>
      </c>
      <c r="V37" s="69">
        <v>10177</v>
      </c>
      <c r="W37" s="54"/>
      <c r="X37" s="69">
        <v>-12877</v>
      </c>
      <c r="Y37" s="69">
        <v>-12621</v>
      </c>
      <c r="Z37" s="54"/>
      <c r="AA37" s="108">
        <v>7825</v>
      </c>
      <c r="AB37" s="54"/>
      <c r="AC37" s="108">
        <f>VLOOKUP(A37,'Change in Proportion Calc'!$A$5:$H$311,8,FALSE)+SUMIF($C$5:$AB$5,2026,C37:AB37)</f>
        <v>27232</v>
      </c>
      <c r="AE37" s="107">
        <f t="shared" si="2"/>
        <v>97118</v>
      </c>
      <c r="AF37" s="107">
        <f t="shared" si="3"/>
        <v>14455</v>
      </c>
      <c r="AH37" s="107"/>
      <c r="AI37" s="108"/>
      <c r="AJ37" s="108"/>
      <c r="AK37" s="213">
        <f t="shared" si="0"/>
        <v>26077</v>
      </c>
      <c r="AL37" s="107">
        <f t="shared" si="4"/>
        <v>19663</v>
      </c>
      <c r="AM37" s="107">
        <f t="shared" si="4"/>
        <v>31028</v>
      </c>
      <c r="AN37" s="107">
        <f t="shared" si="4"/>
        <v>19874</v>
      </c>
      <c r="AO37" s="107">
        <f t="shared" si="4"/>
        <v>12392</v>
      </c>
      <c r="AP37" s="107">
        <f t="shared" si="4"/>
        <v>-294</v>
      </c>
    </row>
    <row r="38" spans="1:42">
      <c r="A38" s="53">
        <v>3005</v>
      </c>
      <c r="B38" s="54" t="s">
        <v>30</v>
      </c>
      <c r="C38" s="234">
        <f>_xlfn.XLOOKUP($A38,'Change in Proportion Calc'!$A$5:$A$311,'Change in Proportion Calc'!L$5:L$311,"n",0,1)</f>
        <v>-329856</v>
      </c>
      <c r="D38" s="234">
        <f>_xlfn.XLOOKUP($A38,'Change in Proportion Calc'!$A$5:$A$311,'Change in Proportion Calc'!M$5:M$311,"n",0,1)</f>
        <v>-329856</v>
      </c>
      <c r="E38" s="234">
        <f>_xlfn.XLOOKUP($A38,'Change in Proportion Calc'!$A$5:$A$311,'Change in Proportion Calc'!N$5:N$311,"n",0,1)</f>
        <v>-329856</v>
      </c>
      <c r="F38" s="234">
        <f>_xlfn.XLOOKUP($A38,'Change in Proportion Calc'!$A$5:$A$311,'Change in Proportion Calc'!O$5:O$311,"n",0,1)</f>
        <v>-329856</v>
      </c>
      <c r="G38" s="234">
        <f>_xlfn.XLOOKUP($A38,'Change in Proportion Calc'!$A$5:$A$311,'Change in Proportion Calc'!P$5:P$311,"n",0,1)</f>
        <v>-253989</v>
      </c>
      <c r="H38" s="54"/>
      <c r="I38" s="69">
        <v>223517</v>
      </c>
      <c r="J38" s="69">
        <v>223517</v>
      </c>
      <c r="K38" s="69">
        <v>223517</v>
      </c>
      <c r="L38" s="69">
        <v>223517</v>
      </c>
      <c r="M38" s="69">
        <v>207868</v>
      </c>
      <c r="N38" s="54"/>
      <c r="O38" s="69">
        <v>441047</v>
      </c>
      <c r="P38" s="69">
        <v>441047</v>
      </c>
      <c r="Q38" s="69">
        <v>441047</v>
      </c>
      <c r="R38" s="69">
        <v>383713</v>
      </c>
      <c r="S38" s="69"/>
      <c r="T38" s="69">
        <v>153487</v>
      </c>
      <c r="U38" s="69">
        <v>153487</v>
      </c>
      <c r="V38" s="69">
        <v>136601</v>
      </c>
      <c r="W38" s="54"/>
      <c r="X38" s="69">
        <v>-140841</v>
      </c>
      <c r="Y38" s="69">
        <v>-138022</v>
      </c>
      <c r="Z38" s="54"/>
      <c r="AA38" s="108">
        <v>-479496</v>
      </c>
      <c r="AB38" s="54"/>
      <c r="AC38" s="108">
        <f>VLOOKUP(A38,'Change in Proportion Calc'!$A$5:$H$311,8,FALSE)+SUMIF($C$5:$AB$5,2026,C38:AB38)</f>
        <v>-132142</v>
      </c>
      <c r="AE38" s="107">
        <f t="shared" si="2"/>
        <v>2434314</v>
      </c>
      <c r="AF38" s="107">
        <f t="shared" si="3"/>
        <v>1711435</v>
      </c>
      <c r="AH38" s="107"/>
      <c r="AI38" s="108"/>
      <c r="AJ38" s="108"/>
      <c r="AK38" s="213">
        <f t="shared" si="0"/>
        <v>3005</v>
      </c>
      <c r="AL38" s="107">
        <f t="shared" si="4"/>
        <v>350173</v>
      </c>
      <c r="AM38" s="107">
        <f t="shared" si="4"/>
        <v>471309</v>
      </c>
      <c r="AN38" s="107">
        <f t="shared" si="4"/>
        <v>277374</v>
      </c>
      <c r="AO38" s="107">
        <f t="shared" si="4"/>
        <v>-121988</v>
      </c>
      <c r="AP38" s="107">
        <f t="shared" si="4"/>
        <v>-253989</v>
      </c>
    </row>
    <row r="39" spans="1:42">
      <c r="A39" s="51">
        <v>26078</v>
      </c>
      <c r="B39" s="55" t="s">
        <v>31</v>
      </c>
      <c r="C39" s="234">
        <f>_xlfn.XLOOKUP($A39,'Change in Proportion Calc'!$A$5:$A$311,'Change in Proportion Calc'!L$5:L$311,"n",0,1)</f>
        <v>-5116</v>
      </c>
      <c r="D39" s="234">
        <f>_xlfn.XLOOKUP($A39,'Change in Proportion Calc'!$A$5:$A$311,'Change in Proportion Calc'!M$5:M$311,"n",0,1)</f>
        <v>-5116</v>
      </c>
      <c r="E39" s="234">
        <f>_xlfn.XLOOKUP($A39,'Change in Proportion Calc'!$A$5:$A$311,'Change in Proportion Calc'!N$5:N$311,"n",0,1)</f>
        <v>-5116</v>
      </c>
      <c r="F39" s="234">
        <f>_xlfn.XLOOKUP($A39,'Change in Proportion Calc'!$A$5:$A$311,'Change in Proportion Calc'!O$5:O$311,"n",0,1)</f>
        <v>-5116</v>
      </c>
      <c r="G39" s="234">
        <f>_xlfn.XLOOKUP($A39,'Change in Proportion Calc'!$A$5:$A$311,'Change in Proportion Calc'!P$5:P$311,"n",0,1)</f>
        <v>-3939</v>
      </c>
      <c r="H39" s="54"/>
      <c r="I39" s="69">
        <v>-6746</v>
      </c>
      <c r="J39" s="69">
        <v>-6746</v>
      </c>
      <c r="K39" s="69">
        <v>-6746</v>
      </c>
      <c r="L39" s="69">
        <v>-6746</v>
      </c>
      <c r="M39" s="69">
        <v>-6272</v>
      </c>
      <c r="N39" s="54"/>
      <c r="O39" s="69">
        <v>16496</v>
      </c>
      <c r="P39" s="69">
        <v>16496</v>
      </c>
      <c r="Q39" s="69">
        <v>16496</v>
      </c>
      <c r="R39" s="69">
        <v>14352</v>
      </c>
      <c r="S39" s="69"/>
      <c r="T39" s="69">
        <v>-10519</v>
      </c>
      <c r="U39" s="69">
        <v>-10519</v>
      </c>
      <c r="V39" s="69">
        <v>-9364</v>
      </c>
      <c r="W39" s="54"/>
      <c r="X39" s="69">
        <v>-10529</v>
      </c>
      <c r="Y39" s="69">
        <v>-10316</v>
      </c>
      <c r="Z39" s="54"/>
      <c r="AA39" s="108">
        <v>15906</v>
      </c>
      <c r="AB39" s="54"/>
      <c r="AC39" s="108">
        <f>VLOOKUP(A39,'Change in Proportion Calc'!$A$5:$H$311,8,FALSE)+SUMIF($C$5:$AB$5,2026,C39:AB39)</f>
        <v>-508</v>
      </c>
      <c r="AE39" s="107">
        <f t="shared" si="2"/>
        <v>47344</v>
      </c>
      <c r="AF39" s="107">
        <f t="shared" si="3"/>
        <v>81112</v>
      </c>
      <c r="AH39" s="107"/>
      <c r="AI39" s="108"/>
      <c r="AJ39" s="108"/>
      <c r="AK39" s="213">
        <f t="shared" si="0"/>
        <v>26078</v>
      </c>
      <c r="AL39" s="107">
        <f t="shared" si="4"/>
        <v>-16201</v>
      </c>
      <c r="AM39" s="107">
        <f t="shared" si="4"/>
        <v>-4730</v>
      </c>
      <c r="AN39" s="107">
        <f t="shared" si="4"/>
        <v>2490</v>
      </c>
      <c r="AO39" s="107">
        <f t="shared" si="4"/>
        <v>-11388</v>
      </c>
      <c r="AP39" s="107">
        <f t="shared" si="4"/>
        <v>-3939</v>
      </c>
    </row>
    <row r="40" spans="1:42">
      <c r="A40" s="53">
        <v>16053</v>
      </c>
      <c r="B40" s="54" t="s">
        <v>32</v>
      </c>
      <c r="C40" s="234">
        <f>_xlfn.XLOOKUP($A40,'Change in Proportion Calc'!$A$5:$A$311,'Change in Proportion Calc'!L$5:L$311,"n",0,1)</f>
        <v>-287171</v>
      </c>
      <c r="D40" s="234">
        <f>_xlfn.XLOOKUP($A40,'Change in Proportion Calc'!$A$5:$A$311,'Change in Proportion Calc'!M$5:M$311,"n",0,1)</f>
        <v>-287171</v>
      </c>
      <c r="E40" s="234">
        <f>_xlfn.XLOOKUP($A40,'Change in Proportion Calc'!$A$5:$A$311,'Change in Proportion Calc'!N$5:N$311,"n",0,1)</f>
        <v>-287171</v>
      </c>
      <c r="F40" s="234">
        <f>_xlfn.XLOOKUP($A40,'Change in Proportion Calc'!$A$5:$A$311,'Change in Proportion Calc'!O$5:O$311,"n",0,1)</f>
        <v>-287171</v>
      </c>
      <c r="G40" s="234">
        <f>_xlfn.XLOOKUP($A40,'Change in Proportion Calc'!$A$5:$A$311,'Change in Proportion Calc'!P$5:P$311,"n",0,1)</f>
        <v>-221123</v>
      </c>
      <c r="H40" s="54"/>
      <c r="I40" s="69">
        <v>-443520</v>
      </c>
      <c r="J40" s="69">
        <v>-443520</v>
      </c>
      <c r="K40" s="69">
        <v>-443520</v>
      </c>
      <c r="L40" s="69">
        <v>-443520</v>
      </c>
      <c r="M40" s="69">
        <v>-412472</v>
      </c>
      <c r="N40" s="54"/>
      <c r="O40" s="69">
        <v>689084</v>
      </c>
      <c r="P40" s="69">
        <v>689084</v>
      </c>
      <c r="Q40" s="69">
        <v>689084</v>
      </c>
      <c r="R40" s="69">
        <v>599505</v>
      </c>
      <c r="S40" s="69"/>
      <c r="T40" s="69">
        <v>-132561</v>
      </c>
      <c r="U40" s="69">
        <v>-132561</v>
      </c>
      <c r="V40" s="69">
        <v>-117981</v>
      </c>
      <c r="W40" s="54"/>
      <c r="X40" s="69">
        <v>326954</v>
      </c>
      <c r="Y40" s="69">
        <v>320417</v>
      </c>
      <c r="Z40" s="54"/>
      <c r="AA40" s="108">
        <v>-177898</v>
      </c>
      <c r="AB40" s="54"/>
      <c r="AC40" s="108">
        <f>VLOOKUP(A40,'Change in Proportion Calc'!$A$5:$H$311,8,FALSE)+SUMIF($C$5:$AB$5,2026,C40:AB40)</f>
        <v>-25112</v>
      </c>
      <c r="AE40" s="107">
        <f t="shared" si="2"/>
        <v>2298090</v>
      </c>
      <c r="AF40" s="107">
        <f t="shared" si="3"/>
        <v>3363381</v>
      </c>
      <c r="AH40" s="107"/>
      <c r="AI40" s="108"/>
      <c r="AJ40" s="108"/>
      <c r="AK40" s="213">
        <f t="shared" si="0"/>
        <v>16053</v>
      </c>
      <c r="AL40" s="107">
        <f t="shared" si="4"/>
        <v>146249</v>
      </c>
      <c r="AM40" s="107">
        <f t="shared" si="4"/>
        <v>-159588</v>
      </c>
      <c r="AN40" s="107">
        <f t="shared" si="4"/>
        <v>-131186</v>
      </c>
      <c r="AO40" s="107">
        <f t="shared" si="4"/>
        <v>-699643</v>
      </c>
      <c r="AP40" s="107">
        <f t="shared" si="4"/>
        <v>-221123</v>
      </c>
    </row>
    <row r="41" spans="1:42">
      <c r="A41" s="51">
        <v>2123</v>
      </c>
      <c r="B41" s="55" t="s">
        <v>33</v>
      </c>
      <c r="C41" s="234">
        <f>_xlfn.XLOOKUP($A41,'Change in Proportion Calc'!$A$5:$A$311,'Change in Proportion Calc'!L$5:L$311,"n",0,1)</f>
        <v>16266</v>
      </c>
      <c r="D41" s="234">
        <f>_xlfn.XLOOKUP($A41,'Change in Proportion Calc'!$A$5:$A$311,'Change in Proportion Calc'!M$5:M$311,"n",0,1)</f>
        <v>16266</v>
      </c>
      <c r="E41" s="234">
        <f>_xlfn.XLOOKUP($A41,'Change in Proportion Calc'!$A$5:$A$311,'Change in Proportion Calc'!N$5:N$311,"n",0,1)</f>
        <v>16266</v>
      </c>
      <c r="F41" s="234">
        <f>_xlfn.XLOOKUP($A41,'Change in Proportion Calc'!$A$5:$A$311,'Change in Proportion Calc'!O$5:O$311,"n",0,1)</f>
        <v>16266</v>
      </c>
      <c r="G41" s="234">
        <f>_xlfn.XLOOKUP($A41,'Change in Proportion Calc'!$A$5:$A$311,'Change in Proportion Calc'!P$5:P$311,"n",0,1)</f>
        <v>12526</v>
      </c>
      <c r="H41" s="54"/>
      <c r="I41" s="69">
        <v>565782</v>
      </c>
      <c r="J41" s="69">
        <v>565782</v>
      </c>
      <c r="K41" s="69">
        <v>565782</v>
      </c>
      <c r="L41" s="69">
        <v>565782</v>
      </c>
      <c r="M41" s="69">
        <v>526175</v>
      </c>
      <c r="N41" s="54"/>
      <c r="O41" s="69">
        <v>-1778499</v>
      </c>
      <c r="P41" s="69">
        <v>-1778499</v>
      </c>
      <c r="Q41" s="69">
        <v>-1778499</v>
      </c>
      <c r="R41" s="69">
        <v>-1547294</v>
      </c>
      <c r="S41" s="69"/>
      <c r="T41" s="69">
        <v>640744</v>
      </c>
      <c r="U41" s="69">
        <v>640744</v>
      </c>
      <c r="V41" s="69">
        <v>570262</v>
      </c>
      <c r="W41" s="54"/>
      <c r="X41" s="69">
        <v>-252363</v>
      </c>
      <c r="Y41" s="69">
        <v>-247317</v>
      </c>
      <c r="Z41" s="54"/>
      <c r="AA41" s="108">
        <v>734979</v>
      </c>
      <c r="AB41" s="54"/>
      <c r="AC41" s="108">
        <f>VLOOKUP(A41,'Change in Proportion Calc'!$A$5:$H$311,8,FALSE)+SUMIF($C$5:$AB$5,2026,C41:AB41)</f>
        <v>-73091</v>
      </c>
      <c r="AE41" s="107">
        <f t="shared" si="2"/>
        <v>3512117</v>
      </c>
      <c r="AF41" s="107">
        <f t="shared" si="3"/>
        <v>5351609</v>
      </c>
      <c r="AH41" s="107"/>
      <c r="AI41" s="108"/>
      <c r="AJ41" s="108"/>
      <c r="AK41" s="213">
        <f t="shared" si="0"/>
        <v>2123</v>
      </c>
      <c r="AL41" s="107">
        <f t="shared" si="4"/>
        <v>-803024</v>
      </c>
      <c r="AM41" s="107">
        <f t="shared" si="4"/>
        <v>-626189</v>
      </c>
      <c r="AN41" s="107">
        <f t="shared" si="4"/>
        <v>-965246</v>
      </c>
      <c r="AO41" s="107">
        <f t="shared" si="4"/>
        <v>542441</v>
      </c>
      <c r="AP41" s="107">
        <f t="shared" si="4"/>
        <v>12526</v>
      </c>
    </row>
    <row r="42" spans="1:42">
      <c r="A42" s="53">
        <v>2150</v>
      </c>
      <c r="B42" s="54" t="s">
        <v>34</v>
      </c>
      <c r="C42" s="234">
        <f>_xlfn.XLOOKUP($A42,'Change in Proportion Calc'!$A$5:$A$311,'Change in Proportion Calc'!L$5:L$311,"n",0,1)</f>
        <v>28463</v>
      </c>
      <c r="D42" s="234">
        <f>_xlfn.XLOOKUP($A42,'Change in Proportion Calc'!$A$5:$A$311,'Change in Proportion Calc'!M$5:M$311,"n",0,1)</f>
        <v>28463</v>
      </c>
      <c r="E42" s="234">
        <f>_xlfn.XLOOKUP($A42,'Change in Proportion Calc'!$A$5:$A$311,'Change in Proportion Calc'!N$5:N$311,"n",0,1)</f>
        <v>28463</v>
      </c>
      <c r="F42" s="234">
        <f>_xlfn.XLOOKUP($A42,'Change in Proportion Calc'!$A$5:$A$311,'Change in Proportion Calc'!O$5:O$311,"n",0,1)</f>
        <v>28463</v>
      </c>
      <c r="G42" s="234">
        <f>_xlfn.XLOOKUP($A42,'Change in Proportion Calc'!$A$5:$A$311,'Change in Proportion Calc'!P$5:P$311,"n",0,1)</f>
        <v>21915</v>
      </c>
      <c r="H42" s="54"/>
      <c r="I42" s="69">
        <v>164394</v>
      </c>
      <c r="J42" s="69">
        <v>164394</v>
      </c>
      <c r="K42" s="69">
        <v>164394</v>
      </c>
      <c r="L42" s="69">
        <v>164394</v>
      </c>
      <c r="M42" s="69">
        <v>152884</v>
      </c>
      <c r="N42" s="54"/>
      <c r="O42" s="69">
        <v>161660</v>
      </c>
      <c r="P42" s="69">
        <v>161660</v>
      </c>
      <c r="Q42" s="69">
        <v>161660</v>
      </c>
      <c r="R42" s="69">
        <v>140646</v>
      </c>
      <c r="S42" s="69"/>
      <c r="T42" s="69">
        <v>-19733</v>
      </c>
      <c r="U42" s="69">
        <v>-19733</v>
      </c>
      <c r="V42" s="69">
        <v>-17561</v>
      </c>
      <c r="W42" s="54"/>
      <c r="X42" s="69">
        <v>184170</v>
      </c>
      <c r="Y42" s="69">
        <v>180487</v>
      </c>
      <c r="Z42" s="54"/>
      <c r="AA42" s="108">
        <v>7152</v>
      </c>
      <c r="AB42" s="54"/>
      <c r="AC42" s="108">
        <f>VLOOKUP(A42,'Change in Proportion Calc'!$A$5:$H$311,8,FALSE)+SUMIF($C$5:$AB$5,2026,C42:AB42)</f>
        <v>526106</v>
      </c>
      <c r="AE42" s="107">
        <f t="shared" si="2"/>
        <v>1426286</v>
      </c>
      <c r="AF42" s="107">
        <f t="shared" si="3"/>
        <v>37294</v>
      </c>
      <c r="AH42" s="107"/>
      <c r="AI42" s="108"/>
      <c r="AJ42" s="108"/>
      <c r="AK42" s="213">
        <f t="shared" si="0"/>
        <v>2150</v>
      </c>
      <c r="AL42" s="107">
        <f t="shared" si="4"/>
        <v>515271</v>
      </c>
      <c r="AM42" s="107">
        <f t="shared" si="4"/>
        <v>336956</v>
      </c>
      <c r="AN42" s="107">
        <f t="shared" si="4"/>
        <v>333503</v>
      </c>
      <c r="AO42" s="107">
        <f t="shared" si="4"/>
        <v>181347</v>
      </c>
      <c r="AP42" s="107">
        <f t="shared" si="4"/>
        <v>21915</v>
      </c>
    </row>
    <row r="43" spans="1:42">
      <c r="A43" s="51">
        <v>2336</v>
      </c>
      <c r="B43" s="55" t="s">
        <v>35</v>
      </c>
      <c r="C43" s="234">
        <f>_xlfn.XLOOKUP($A43,'Change in Proportion Calc'!$A$5:$A$311,'Change in Proportion Calc'!L$5:L$311,"n",0,1)</f>
        <v>781</v>
      </c>
      <c r="D43" s="234">
        <f>_xlfn.XLOOKUP($A43,'Change in Proportion Calc'!$A$5:$A$311,'Change in Proportion Calc'!M$5:M$311,"n",0,1)</f>
        <v>781</v>
      </c>
      <c r="E43" s="234">
        <f>_xlfn.XLOOKUP($A43,'Change in Proportion Calc'!$A$5:$A$311,'Change in Proportion Calc'!N$5:N$311,"n",0,1)</f>
        <v>781</v>
      </c>
      <c r="F43" s="234">
        <f>_xlfn.XLOOKUP($A43,'Change in Proportion Calc'!$A$5:$A$311,'Change in Proportion Calc'!O$5:O$311,"n",0,1)</f>
        <v>781</v>
      </c>
      <c r="G43" s="234">
        <f>_xlfn.XLOOKUP($A43,'Change in Proportion Calc'!$A$5:$A$311,'Change in Proportion Calc'!P$5:P$311,"n",0,1)</f>
        <v>603</v>
      </c>
      <c r="H43" s="54"/>
      <c r="I43" s="69">
        <v>-909</v>
      </c>
      <c r="J43" s="69">
        <v>-909</v>
      </c>
      <c r="K43" s="69">
        <v>-909</v>
      </c>
      <c r="L43" s="69">
        <v>-909</v>
      </c>
      <c r="M43" s="69">
        <v>-845</v>
      </c>
      <c r="N43" s="54"/>
      <c r="O43" s="69">
        <v>13130</v>
      </c>
      <c r="P43" s="69">
        <v>13130</v>
      </c>
      <c r="Q43" s="69">
        <v>13130</v>
      </c>
      <c r="R43" s="69">
        <v>11425</v>
      </c>
      <c r="S43" s="69"/>
      <c r="T43" s="69">
        <v>-3759</v>
      </c>
      <c r="U43" s="69">
        <v>-3759</v>
      </c>
      <c r="V43" s="69">
        <v>-3346</v>
      </c>
      <c r="W43" s="54"/>
      <c r="X43" s="69">
        <v>-13039</v>
      </c>
      <c r="Y43" s="69">
        <v>-12780</v>
      </c>
      <c r="Z43" s="54"/>
      <c r="AA43" s="108">
        <v>7407</v>
      </c>
      <c r="AB43" s="54"/>
      <c r="AC43" s="108">
        <f>VLOOKUP(A43,'Change in Proportion Calc'!$A$5:$H$311,8,FALSE)+SUMIF($C$5:$AB$5,2026,C43:AB43)</f>
        <v>3611</v>
      </c>
      <c r="AE43" s="107">
        <f t="shared" si="2"/>
        <v>41412</v>
      </c>
      <c r="AF43" s="107">
        <f t="shared" si="3"/>
        <v>23457</v>
      </c>
      <c r="AH43" s="107"/>
      <c r="AI43" s="108"/>
      <c r="AJ43" s="108"/>
      <c r="AK43" s="213">
        <f t="shared" si="0"/>
        <v>2336</v>
      </c>
      <c r="AL43" s="107">
        <f t="shared" si="4"/>
        <v>-3537</v>
      </c>
      <c r="AM43" s="107">
        <f t="shared" si="4"/>
        <v>9656</v>
      </c>
      <c r="AN43" s="107">
        <f t="shared" si="4"/>
        <v>11297</v>
      </c>
      <c r="AO43" s="107">
        <f t="shared" si="4"/>
        <v>-64</v>
      </c>
      <c r="AP43" s="107">
        <f t="shared" si="4"/>
        <v>603</v>
      </c>
    </row>
    <row r="44" spans="1:42">
      <c r="A44" s="53">
        <v>17126</v>
      </c>
      <c r="B44" s="54" t="s">
        <v>36</v>
      </c>
      <c r="C44" s="234">
        <f>_xlfn.XLOOKUP($A44,'Change in Proportion Calc'!$A$5:$A$311,'Change in Proportion Calc'!L$5:L$311,"n",0,1)</f>
        <v>882</v>
      </c>
      <c r="D44" s="234">
        <f>_xlfn.XLOOKUP($A44,'Change in Proportion Calc'!$A$5:$A$311,'Change in Proportion Calc'!M$5:M$311,"n",0,1)</f>
        <v>882</v>
      </c>
      <c r="E44" s="234">
        <f>_xlfn.XLOOKUP($A44,'Change in Proportion Calc'!$A$5:$A$311,'Change in Proportion Calc'!N$5:N$311,"n",0,1)</f>
        <v>882</v>
      </c>
      <c r="F44" s="234">
        <f>_xlfn.XLOOKUP($A44,'Change in Proportion Calc'!$A$5:$A$311,'Change in Proportion Calc'!O$5:O$311,"n",0,1)</f>
        <v>882</v>
      </c>
      <c r="G44" s="234">
        <f>_xlfn.XLOOKUP($A44,'Change in Proportion Calc'!$A$5:$A$311,'Change in Proportion Calc'!P$5:P$311,"n",0,1)</f>
        <v>678</v>
      </c>
      <c r="H44" s="54"/>
      <c r="I44" s="69">
        <v>-24485</v>
      </c>
      <c r="J44" s="69">
        <v>-24485</v>
      </c>
      <c r="K44" s="69">
        <v>-24485</v>
      </c>
      <c r="L44" s="69">
        <v>-24485</v>
      </c>
      <c r="M44" s="69">
        <v>-22774</v>
      </c>
      <c r="N44" s="54"/>
      <c r="O44" s="69">
        <v>32312</v>
      </c>
      <c r="P44" s="69">
        <v>32312</v>
      </c>
      <c r="Q44" s="69">
        <v>32312</v>
      </c>
      <c r="R44" s="69">
        <v>28113</v>
      </c>
      <c r="S44" s="69"/>
      <c r="T44" s="69">
        <v>2435</v>
      </c>
      <c r="U44" s="69">
        <v>2435</v>
      </c>
      <c r="V44" s="69">
        <v>2165</v>
      </c>
      <c r="W44" s="54"/>
      <c r="X44" s="69">
        <v>-28022</v>
      </c>
      <c r="Y44" s="69">
        <v>-27464</v>
      </c>
      <c r="Z44" s="54"/>
      <c r="AA44" s="108">
        <v>21290</v>
      </c>
      <c r="AB44" s="54"/>
      <c r="AC44" s="108">
        <f>VLOOKUP(A44,'Change in Proportion Calc'!$A$5:$H$311,8,FALSE)+SUMIF($C$5:$AB$5,2026,C44:AB44)</f>
        <v>4412</v>
      </c>
      <c r="AE44" s="107">
        <f t="shared" si="2"/>
        <v>101543</v>
      </c>
      <c r="AF44" s="107">
        <f t="shared" si="3"/>
        <v>123693</v>
      </c>
      <c r="AH44" s="107"/>
      <c r="AI44" s="108"/>
      <c r="AJ44" s="108"/>
      <c r="AK44" s="213">
        <f t="shared" si="0"/>
        <v>17126</v>
      </c>
      <c r="AL44" s="107">
        <f t="shared" si="4"/>
        <v>-16320</v>
      </c>
      <c r="AM44" s="107">
        <f t="shared" si="4"/>
        <v>10874</v>
      </c>
      <c r="AN44" s="107">
        <f t="shared" si="4"/>
        <v>4510</v>
      </c>
      <c r="AO44" s="107">
        <f t="shared" si="4"/>
        <v>-21892</v>
      </c>
      <c r="AP44" s="107">
        <f t="shared" si="4"/>
        <v>678</v>
      </c>
    </row>
    <row r="45" spans="1:42">
      <c r="A45" s="51">
        <v>3030</v>
      </c>
      <c r="B45" s="55" t="s">
        <v>37</v>
      </c>
      <c r="C45" s="234">
        <f>_xlfn.XLOOKUP($A45,'Change in Proportion Calc'!$A$5:$A$311,'Change in Proportion Calc'!L$5:L$311,"n",0,1)</f>
        <v>65935</v>
      </c>
      <c r="D45" s="234">
        <f>_xlfn.XLOOKUP($A45,'Change in Proportion Calc'!$A$5:$A$311,'Change in Proportion Calc'!M$5:M$311,"n",0,1)</f>
        <v>65935</v>
      </c>
      <c r="E45" s="234">
        <f>_xlfn.XLOOKUP($A45,'Change in Proportion Calc'!$A$5:$A$311,'Change in Proportion Calc'!N$5:N$311,"n",0,1)</f>
        <v>65935</v>
      </c>
      <c r="F45" s="234">
        <f>_xlfn.XLOOKUP($A45,'Change in Proportion Calc'!$A$5:$A$311,'Change in Proportion Calc'!O$5:O$311,"n",0,1)</f>
        <v>65935</v>
      </c>
      <c r="G45" s="234">
        <f>_xlfn.XLOOKUP($A45,'Change in Proportion Calc'!$A$5:$A$311,'Change in Proportion Calc'!P$5:P$311,"n",0,1)</f>
        <v>50768</v>
      </c>
      <c r="H45" s="54"/>
      <c r="I45" s="69">
        <v>-10333</v>
      </c>
      <c r="J45" s="69">
        <v>-10333</v>
      </c>
      <c r="K45" s="69">
        <v>-10333</v>
      </c>
      <c r="L45" s="69">
        <v>-10333</v>
      </c>
      <c r="M45" s="69">
        <v>-9608</v>
      </c>
      <c r="N45" s="54"/>
      <c r="O45" s="69">
        <v>-100022</v>
      </c>
      <c r="P45" s="69">
        <v>-100022</v>
      </c>
      <c r="Q45" s="69">
        <v>-100022</v>
      </c>
      <c r="R45" s="69">
        <v>-87017</v>
      </c>
      <c r="S45" s="69"/>
      <c r="T45" s="69">
        <v>-136590</v>
      </c>
      <c r="U45" s="69">
        <v>-136590</v>
      </c>
      <c r="V45" s="69">
        <v>-121567</v>
      </c>
      <c r="W45" s="54"/>
      <c r="X45" s="69">
        <v>-89332</v>
      </c>
      <c r="Y45" s="69">
        <v>-87543</v>
      </c>
      <c r="Z45" s="54"/>
      <c r="AA45" s="108">
        <v>-64546</v>
      </c>
      <c r="AB45" s="54"/>
      <c r="AC45" s="108">
        <f>VLOOKUP(A45,'Change in Proportion Calc'!$A$5:$H$311,8,FALSE)+SUMIF($C$5:$AB$5,2026,C45:AB45)</f>
        <v>-334888</v>
      </c>
      <c r="AE45" s="107">
        <f t="shared" si="2"/>
        <v>314508</v>
      </c>
      <c r="AF45" s="107">
        <f t="shared" si="3"/>
        <v>673368</v>
      </c>
      <c r="AH45" s="107"/>
      <c r="AI45" s="108"/>
      <c r="AJ45" s="108"/>
      <c r="AK45" s="213">
        <f t="shared" si="0"/>
        <v>3030</v>
      </c>
      <c r="AL45" s="107">
        <f t="shared" si="4"/>
        <v>-268553</v>
      </c>
      <c r="AM45" s="107">
        <f t="shared" si="4"/>
        <v>-165987</v>
      </c>
      <c r="AN45" s="107">
        <f t="shared" si="4"/>
        <v>-31415</v>
      </c>
      <c r="AO45" s="107">
        <f t="shared" si="4"/>
        <v>56327</v>
      </c>
      <c r="AP45" s="107">
        <f t="shared" si="4"/>
        <v>50768</v>
      </c>
    </row>
    <row r="46" spans="1:42">
      <c r="A46" s="53">
        <v>2353</v>
      </c>
      <c r="B46" s="54" t="s">
        <v>38</v>
      </c>
      <c r="C46" s="234">
        <f>_xlfn.XLOOKUP($A46,'Change in Proportion Calc'!$A$5:$A$311,'Change in Proportion Calc'!L$5:L$311,"n",0,1)</f>
        <v>40319</v>
      </c>
      <c r="D46" s="234">
        <f>_xlfn.XLOOKUP($A46,'Change in Proportion Calc'!$A$5:$A$311,'Change in Proportion Calc'!M$5:M$311,"n",0,1)</f>
        <v>40319</v>
      </c>
      <c r="E46" s="234">
        <f>_xlfn.XLOOKUP($A46,'Change in Proportion Calc'!$A$5:$A$311,'Change in Proportion Calc'!N$5:N$311,"n",0,1)</f>
        <v>40319</v>
      </c>
      <c r="F46" s="234">
        <f>_xlfn.XLOOKUP($A46,'Change in Proportion Calc'!$A$5:$A$311,'Change in Proportion Calc'!O$5:O$311,"n",0,1)</f>
        <v>40319</v>
      </c>
      <c r="G46" s="234">
        <f>_xlfn.XLOOKUP($A46,'Change in Proportion Calc'!$A$5:$A$311,'Change in Proportion Calc'!P$5:P$311,"n",0,1)</f>
        <v>31045</v>
      </c>
      <c r="H46" s="54"/>
      <c r="I46" s="69">
        <v>59134</v>
      </c>
      <c r="J46" s="69">
        <v>59134</v>
      </c>
      <c r="K46" s="69">
        <v>59134</v>
      </c>
      <c r="L46" s="69">
        <v>59134</v>
      </c>
      <c r="M46" s="69">
        <v>54994</v>
      </c>
      <c r="N46" s="54"/>
      <c r="O46" s="69">
        <v>15699</v>
      </c>
      <c r="P46" s="69">
        <v>15699</v>
      </c>
      <c r="Q46" s="69">
        <v>15699</v>
      </c>
      <c r="R46" s="69">
        <v>13656</v>
      </c>
      <c r="S46" s="69"/>
      <c r="T46" s="69">
        <v>159605</v>
      </c>
      <c r="U46" s="69">
        <v>159605</v>
      </c>
      <c r="V46" s="69">
        <v>142047</v>
      </c>
      <c r="W46" s="54"/>
      <c r="X46" s="69">
        <v>-72081</v>
      </c>
      <c r="Y46" s="69">
        <v>-70637</v>
      </c>
      <c r="Z46" s="54"/>
      <c r="AA46" s="108">
        <v>-1008</v>
      </c>
      <c r="AB46" s="54"/>
      <c r="AC46" s="108">
        <f>VLOOKUP(A46,'Change in Proportion Calc'!$A$5:$H$311,8,FALSE)+SUMIF($C$5:$AB$5,2026,C46:AB46)</f>
        <v>201668</v>
      </c>
      <c r="AE46" s="107">
        <f t="shared" si="2"/>
        <v>771423</v>
      </c>
      <c r="AF46" s="107">
        <f t="shared" si="3"/>
        <v>70637</v>
      </c>
      <c r="AH46" s="107"/>
      <c r="AI46" s="108"/>
      <c r="AJ46" s="108"/>
      <c r="AK46" s="213">
        <f t="shared" si="0"/>
        <v>2353</v>
      </c>
      <c r="AL46" s="107">
        <f t="shared" si="4"/>
        <v>204120</v>
      </c>
      <c r="AM46" s="107">
        <f t="shared" si="4"/>
        <v>257199</v>
      </c>
      <c r="AN46" s="107">
        <f t="shared" si="4"/>
        <v>113109</v>
      </c>
      <c r="AO46" s="107">
        <f t="shared" si="4"/>
        <v>95313</v>
      </c>
      <c r="AP46" s="107">
        <f t="shared" si="4"/>
        <v>31045</v>
      </c>
    </row>
    <row r="47" spans="1:42">
      <c r="A47" s="51">
        <v>3040</v>
      </c>
      <c r="B47" s="55" t="s">
        <v>39</v>
      </c>
      <c r="C47" s="234">
        <f>_xlfn.XLOOKUP($A47,'Change in Proportion Calc'!$A$5:$A$311,'Change in Proportion Calc'!L$5:L$311,"n",0,1)</f>
        <v>11611</v>
      </c>
      <c r="D47" s="234">
        <f>_xlfn.XLOOKUP($A47,'Change in Proportion Calc'!$A$5:$A$311,'Change in Proportion Calc'!M$5:M$311,"n",0,1)</f>
        <v>11611</v>
      </c>
      <c r="E47" s="234">
        <f>_xlfn.XLOOKUP($A47,'Change in Proportion Calc'!$A$5:$A$311,'Change in Proportion Calc'!N$5:N$311,"n",0,1)</f>
        <v>11611</v>
      </c>
      <c r="F47" s="234">
        <f>_xlfn.XLOOKUP($A47,'Change in Proportion Calc'!$A$5:$A$311,'Change in Proportion Calc'!O$5:O$311,"n",0,1)</f>
        <v>11611</v>
      </c>
      <c r="G47" s="234">
        <f>_xlfn.XLOOKUP($A47,'Change in Proportion Calc'!$A$5:$A$311,'Change in Proportion Calc'!P$5:P$311,"n",0,1)</f>
        <v>8941</v>
      </c>
      <c r="H47" s="54"/>
      <c r="I47" s="69">
        <v>44262</v>
      </c>
      <c r="J47" s="69">
        <v>44262</v>
      </c>
      <c r="K47" s="69">
        <v>44262</v>
      </c>
      <c r="L47" s="69">
        <v>44262</v>
      </c>
      <c r="M47" s="69">
        <v>41165</v>
      </c>
      <c r="N47" s="54"/>
      <c r="O47" s="69">
        <v>-12068</v>
      </c>
      <c r="P47" s="69">
        <v>-12068</v>
      </c>
      <c r="Q47" s="69">
        <v>-12068</v>
      </c>
      <c r="R47" s="69">
        <v>-10497</v>
      </c>
      <c r="S47" s="69"/>
      <c r="T47" s="69">
        <v>9788</v>
      </c>
      <c r="U47" s="69">
        <v>9788</v>
      </c>
      <c r="V47" s="69">
        <v>8709</v>
      </c>
      <c r="W47" s="54"/>
      <c r="X47" s="69">
        <v>-16036</v>
      </c>
      <c r="Y47" s="69">
        <v>-15715</v>
      </c>
      <c r="Z47" s="54"/>
      <c r="AA47" s="108">
        <v>-36690</v>
      </c>
      <c r="AB47" s="54"/>
      <c r="AC47" s="108">
        <f>VLOOKUP(A47,'Change in Proportion Calc'!$A$5:$H$311,8,FALSE)+SUMIF($C$5:$AB$5,2026,C47:AB47)</f>
        <v>867</v>
      </c>
      <c r="AE47" s="107">
        <f t="shared" si="2"/>
        <v>247833</v>
      </c>
      <c r="AF47" s="107">
        <f t="shared" si="3"/>
        <v>50348</v>
      </c>
      <c r="AH47" s="107"/>
      <c r="AI47" s="108"/>
      <c r="AJ47" s="108"/>
      <c r="AK47" s="213">
        <f t="shared" si="0"/>
        <v>3040</v>
      </c>
      <c r="AL47" s="107">
        <f t="shared" si="4"/>
        <v>37878</v>
      </c>
      <c r="AM47" s="107">
        <f t="shared" si="4"/>
        <v>52514</v>
      </c>
      <c r="AN47" s="107">
        <f t="shared" si="4"/>
        <v>45376</v>
      </c>
      <c r="AO47" s="107">
        <f t="shared" si="4"/>
        <v>52776</v>
      </c>
      <c r="AP47" s="107">
        <f t="shared" si="4"/>
        <v>8941</v>
      </c>
    </row>
    <row r="48" spans="1:42">
      <c r="A48" s="53">
        <v>2367</v>
      </c>
      <c r="B48" s="54" t="s">
        <v>40</v>
      </c>
      <c r="C48" s="234">
        <f>_xlfn.XLOOKUP($A48,'Change in Proportion Calc'!$A$5:$A$311,'Change in Proportion Calc'!L$5:L$311,"n",0,1)</f>
        <v>-47328</v>
      </c>
      <c r="D48" s="234">
        <f>_xlfn.XLOOKUP($A48,'Change in Proportion Calc'!$A$5:$A$311,'Change in Proportion Calc'!M$5:M$311,"n",0,1)</f>
        <v>-47328</v>
      </c>
      <c r="E48" s="234">
        <f>_xlfn.XLOOKUP($A48,'Change in Proportion Calc'!$A$5:$A$311,'Change in Proportion Calc'!N$5:N$311,"n",0,1)</f>
        <v>-47328</v>
      </c>
      <c r="F48" s="234">
        <f>_xlfn.XLOOKUP($A48,'Change in Proportion Calc'!$A$5:$A$311,'Change in Proportion Calc'!O$5:O$311,"n",0,1)</f>
        <v>-47328</v>
      </c>
      <c r="G48" s="234">
        <f>_xlfn.XLOOKUP($A48,'Change in Proportion Calc'!$A$5:$A$311,'Change in Proportion Calc'!P$5:P$311,"n",0,1)</f>
        <v>-36441</v>
      </c>
      <c r="H48" s="54"/>
      <c r="I48" s="69">
        <v>29682</v>
      </c>
      <c r="J48" s="69">
        <v>29682</v>
      </c>
      <c r="K48" s="69">
        <v>29682</v>
      </c>
      <c r="L48" s="69">
        <v>29682</v>
      </c>
      <c r="M48" s="69">
        <v>27603</v>
      </c>
      <c r="N48" s="54"/>
      <c r="O48" s="69">
        <v>42409</v>
      </c>
      <c r="P48" s="69">
        <v>42409</v>
      </c>
      <c r="Q48" s="69">
        <v>42409</v>
      </c>
      <c r="R48" s="69">
        <v>36898</v>
      </c>
      <c r="S48" s="69"/>
      <c r="T48" s="69">
        <v>24279</v>
      </c>
      <c r="U48" s="69">
        <v>24279</v>
      </c>
      <c r="V48" s="69">
        <v>21609</v>
      </c>
      <c r="W48" s="54"/>
      <c r="X48" s="69">
        <v>35716</v>
      </c>
      <c r="Y48" s="69">
        <v>35004</v>
      </c>
      <c r="Z48" s="54"/>
      <c r="AA48" s="108">
        <v>-8666</v>
      </c>
      <c r="AB48" s="54"/>
      <c r="AC48" s="108">
        <f>VLOOKUP(A48,'Change in Proportion Calc'!$A$5:$H$311,8,FALSE)+SUMIF($C$5:$AB$5,2026,C48:AB48)</f>
        <v>76092</v>
      </c>
      <c r="AE48" s="107">
        <f t="shared" si="2"/>
        <v>319257</v>
      </c>
      <c r="AF48" s="107">
        <f t="shared" si="3"/>
        <v>225753</v>
      </c>
      <c r="AH48" s="107"/>
      <c r="AI48" s="108"/>
      <c r="AJ48" s="108"/>
      <c r="AK48" s="213">
        <f t="shared" si="0"/>
        <v>2367</v>
      </c>
      <c r="AL48" s="107">
        <f t="shared" si="4"/>
        <v>84046</v>
      </c>
      <c r="AM48" s="107">
        <f t="shared" si="4"/>
        <v>46372</v>
      </c>
      <c r="AN48" s="107">
        <f t="shared" si="4"/>
        <v>19252</v>
      </c>
      <c r="AO48" s="107">
        <f t="shared" si="4"/>
        <v>-19725</v>
      </c>
      <c r="AP48" s="107">
        <f t="shared" si="4"/>
        <v>-36441</v>
      </c>
    </row>
    <row r="49" spans="1:42">
      <c r="A49" s="51">
        <v>9027</v>
      </c>
      <c r="B49" s="55" t="s">
        <v>41</v>
      </c>
      <c r="C49" s="234">
        <f>_xlfn.XLOOKUP($A49,'Change in Proportion Calc'!$A$5:$A$311,'Change in Proportion Calc'!L$5:L$311,"n",0,1)</f>
        <v>-24849</v>
      </c>
      <c r="D49" s="234">
        <f>_xlfn.XLOOKUP($A49,'Change in Proportion Calc'!$A$5:$A$311,'Change in Proportion Calc'!M$5:M$311,"n",0,1)</f>
        <v>-24849</v>
      </c>
      <c r="E49" s="234">
        <f>_xlfn.XLOOKUP($A49,'Change in Proportion Calc'!$A$5:$A$311,'Change in Proportion Calc'!N$5:N$311,"n",0,1)</f>
        <v>-24849</v>
      </c>
      <c r="F49" s="234">
        <f>_xlfn.XLOOKUP($A49,'Change in Proportion Calc'!$A$5:$A$311,'Change in Proportion Calc'!O$5:O$311,"n",0,1)</f>
        <v>-24849</v>
      </c>
      <c r="G49" s="234">
        <f>_xlfn.XLOOKUP($A49,'Change in Proportion Calc'!$A$5:$A$311,'Change in Proportion Calc'!P$5:P$311,"n",0,1)</f>
        <v>-19132</v>
      </c>
      <c r="H49" s="54"/>
      <c r="I49" s="69">
        <v>-29252</v>
      </c>
      <c r="J49" s="69">
        <v>-29252</v>
      </c>
      <c r="K49" s="69">
        <v>-29252</v>
      </c>
      <c r="L49" s="69">
        <v>-29252</v>
      </c>
      <c r="M49" s="69">
        <v>-27206</v>
      </c>
      <c r="N49" s="54"/>
      <c r="O49" s="69">
        <v>-132</v>
      </c>
      <c r="P49" s="69">
        <v>-132</v>
      </c>
      <c r="Q49" s="69">
        <v>-132</v>
      </c>
      <c r="R49" s="69">
        <v>-113</v>
      </c>
      <c r="S49" s="69"/>
      <c r="T49" s="69">
        <v>8594</v>
      </c>
      <c r="U49" s="69">
        <v>8594</v>
      </c>
      <c r="V49" s="69">
        <v>7647</v>
      </c>
      <c r="W49" s="54"/>
      <c r="X49" s="69">
        <v>89493</v>
      </c>
      <c r="Y49" s="69">
        <v>87705</v>
      </c>
      <c r="Z49" s="54"/>
      <c r="AA49" s="108">
        <v>-58063</v>
      </c>
      <c r="AB49" s="54"/>
      <c r="AC49" s="108">
        <f>VLOOKUP(A49,'Change in Proportion Calc'!$A$5:$H$311,8,FALSE)+SUMIF($C$5:$AB$5,2026,C49:AB49)</f>
        <v>-14209</v>
      </c>
      <c r="AE49" s="107">
        <f t="shared" si="2"/>
        <v>103946</v>
      </c>
      <c r="AF49" s="107">
        <f t="shared" si="3"/>
        <v>233867</v>
      </c>
      <c r="AH49" s="107"/>
      <c r="AI49" s="108"/>
      <c r="AJ49" s="108"/>
      <c r="AK49" s="213">
        <f t="shared" si="0"/>
        <v>9027</v>
      </c>
      <c r="AL49" s="107">
        <f t="shared" si="4"/>
        <v>42066</v>
      </c>
      <c r="AM49" s="107">
        <f t="shared" si="4"/>
        <v>-46586</v>
      </c>
      <c r="AN49" s="107">
        <f t="shared" si="4"/>
        <v>-54214</v>
      </c>
      <c r="AO49" s="107">
        <f t="shared" si="4"/>
        <v>-52055</v>
      </c>
      <c r="AP49" s="107">
        <f t="shared" si="4"/>
        <v>-19132</v>
      </c>
    </row>
    <row r="50" spans="1:42">
      <c r="A50" s="53">
        <v>2010</v>
      </c>
      <c r="B50" s="54" t="s">
        <v>42</v>
      </c>
      <c r="C50" s="234">
        <f>_xlfn.XLOOKUP($A50,'Change in Proportion Calc'!$A$5:$A$311,'Change in Proportion Calc'!L$5:L$311,"n",0,1)</f>
        <v>-61932</v>
      </c>
      <c r="D50" s="234">
        <f>_xlfn.XLOOKUP($A50,'Change in Proportion Calc'!$A$5:$A$311,'Change in Proportion Calc'!M$5:M$311,"n",0,1)</f>
        <v>-61932</v>
      </c>
      <c r="E50" s="234">
        <f>_xlfn.XLOOKUP($A50,'Change in Proportion Calc'!$A$5:$A$311,'Change in Proportion Calc'!N$5:N$311,"n",0,1)</f>
        <v>-61932</v>
      </c>
      <c r="F50" s="234">
        <f>_xlfn.XLOOKUP($A50,'Change in Proportion Calc'!$A$5:$A$311,'Change in Proportion Calc'!O$5:O$311,"n",0,1)</f>
        <v>-61932</v>
      </c>
      <c r="G50" s="234">
        <f>_xlfn.XLOOKUP($A50,'Change in Proportion Calc'!$A$5:$A$311,'Change in Proportion Calc'!P$5:P$311,"n",0,1)</f>
        <v>-47688</v>
      </c>
      <c r="H50" s="54"/>
      <c r="I50" s="69">
        <v>-90656</v>
      </c>
      <c r="J50" s="69">
        <v>-90656</v>
      </c>
      <c r="K50" s="69">
        <v>-90656</v>
      </c>
      <c r="L50" s="69">
        <v>-90656</v>
      </c>
      <c r="M50" s="69">
        <v>-84312</v>
      </c>
      <c r="N50" s="54"/>
      <c r="O50" s="69">
        <v>38414</v>
      </c>
      <c r="P50" s="69">
        <v>38414</v>
      </c>
      <c r="Q50" s="69">
        <v>38414</v>
      </c>
      <c r="R50" s="69">
        <v>33418</v>
      </c>
      <c r="S50" s="69"/>
      <c r="T50" s="69">
        <v>36938</v>
      </c>
      <c r="U50" s="69">
        <v>36938</v>
      </c>
      <c r="V50" s="69">
        <v>32874</v>
      </c>
      <c r="W50" s="54"/>
      <c r="X50" s="69">
        <v>53615</v>
      </c>
      <c r="Y50" s="69">
        <v>52543</v>
      </c>
      <c r="Z50" s="54"/>
      <c r="AA50" s="108">
        <v>-202047</v>
      </c>
      <c r="AB50" s="54"/>
      <c r="AC50" s="108">
        <f>VLOOKUP(A50,'Change in Proportion Calc'!$A$5:$H$311,8,FALSE)+SUMIF($C$5:$AB$5,2026,C50:AB50)</f>
        <v>-225668</v>
      </c>
      <c r="AE50" s="107">
        <f t="shared" si="2"/>
        <v>232601</v>
      </c>
      <c r="AF50" s="107">
        <f t="shared" si="3"/>
        <v>651696</v>
      </c>
      <c r="AH50" s="107"/>
      <c r="AI50" s="108"/>
      <c r="AJ50" s="108"/>
      <c r="AK50" s="213">
        <f t="shared" si="0"/>
        <v>2010</v>
      </c>
      <c r="AL50" s="107">
        <f t="shared" si="4"/>
        <v>-24693</v>
      </c>
      <c r="AM50" s="107">
        <f t="shared" si="4"/>
        <v>-81300</v>
      </c>
      <c r="AN50" s="107">
        <f t="shared" si="4"/>
        <v>-119170</v>
      </c>
      <c r="AO50" s="107">
        <f t="shared" si="4"/>
        <v>-146244</v>
      </c>
      <c r="AP50" s="107">
        <f t="shared" si="4"/>
        <v>-47688</v>
      </c>
    </row>
    <row r="51" spans="1:42">
      <c r="A51" s="51">
        <v>2020</v>
      </c>
      <c r="B51" s="55" t="s">
        <v>43</v>
      </c>
      <c r="C51" s="234">
        <f>_xlfn.XLOOKUP($A51,'Change in Proportion Calc'!$A$5:$A$311,'Change in Proportion Calc'!L$5:L$311,"n",0,1)</f>
        <v>214323</v>
      </c>
      <c r="D51" s="234">
        <f>_xlfn.XLOOKUP($A51,'Change in Proportion Calc'!$A$5:$A$311,'Change in Proportion Calc'!M$5:M$311,"n",0,1)</f>
        <v>214323</v>
      </c>
      <c r="E51" s="234">
        <f>_xlfn.XLOOKUP($A51,'Change in Proportion Calc'!$A$5:$A$311,'Change in Proportion Calc'!N$5:N$311,"n",0,1)</f>
        <v>214323</v>
      </c>
      <c r="F51" s="234">
        <f>_xlfn.XLOOKUP($A51,'Change in Proportion Calc'!$A$5:$A$311,'Change in Proportion Calc'!O$5:O$311,"n",0,1)</f>
        <v>214323</v>
      </c>
      <c r="G51" s="234">
        <f>_xlfn.XLOOKUP($A51,'Change in Proportion Calc'!$A$5:$A$311,'Change in Proportion Calc'!P$5:P$311,"n",0,1)</f>
        <v>165031</v>
      </c>
      <c r="H51" s="54"/>
      <c r="I51" s="69">
        <v>-466975</v>
      </c>
      <c r="J51" s="69">
        <v>-466975</v>
      </c>
      <c r="K51" s="69">
        <v>-466975</v>
      </c>
      <c r="L51" s="69">
        <v>-466975</v>
      </c>
      <c r="M51" s="69">
        <v>-434286</v>
      </c>
      <c r="N51" s="54"/>
      <c r="O51" s="69">
        <v>-1487596</v>
      </c>
      <c r="P51" s="69">
        <v>-1487596</v>
      </c>
      <c r="Q51" s="69">
        <v>-1487596</v>
      </c>
      <c r="R51" s="69">
        <v>-1294210</v>
      </c>
      <c r="S51" s="69"/>
      <c r="T51" s="69">
        <v>-802408</v>
      </c>
      <c r="U51" s="69">
        <v>-802408</v>
      </c>
      <c r="V51" s="69">
        <v>-714141</v>
      </c>
      <c r="W51" s="54"/>
      <c r="X51" s="69">
        <v>468848</v>
      </c>
      <c r="Y51" s="69">
        <v>459471</v>
      </c>
      <c r="Z51" s="54"/>
      <c r="AA51" s="108">
        <v>-1377395</v>
      </c>
      <c r="AB51" s="54"/>
      <c r="AC51" s="108">
        <f>VLOOKUP(A51,'Change in Proportion Calc'!$A$5:$H$311,8,FALSE)+SUMIF($C$5:$AB$5,2026,C51:AB51)</f>
        <v>-3451203</v>
      </c>
      <c r="AE51" s="107">
        <f t="shared" si="2"/>
        <v>1481794</v>
      </c>
      <c r="AF51" s="107">
        <f t="shared" si="3"/>
        <v>7621162</v>
      </c>
      <c r="AH51" s="107"/>
      <c r="AI51" s="108"/>
      <c r="AJ51" s="108"/>
      <c r="AK51" s="213">
        <f t="shared" si="0"/>
        <v>2020</v>
      </c>
      <c r="AL51" s="107">
        <f t="shared" si="4"/>
        <v>-2083185</v>
      </c>
      <c r="AM51" s="107">
        <f t="shared" si="4"/>
        <v>-2454389</v>
      </c>
      <c r="AN51" s="107">
        <f t="shared" si="4"/>
        <v>-1546862</v>
      </c>
      <c r="AO51" s="107">
        <f t="shared" si="4"/>
        <v>-219963</v>
      </c>
      <c r="AP51" s="107">
        <f t="shared" si="4"/>
        <v>165031</v>
      </c>
    </row>
    <row r="52" spans="1:42">
      <c r="A52" s="53">
        <v>2040</v>
      </c>
      <c r="B52" s="54" t="s">
        <v>44</v>
      </c>
      <c r="C52" s="234">
        <f>_xlfn.XLOOKUP($A52,'Change in Proportion Calc'!$A$5:$A$311,'Change in Proportion Calc'!L$5:L$311,"n",0,1)</f>
        <v>-4492</v>
      </c>
      <c r="D52" s="234">
        <f>_xlfn.XLOOKUP($A52,'Change in Proportion Calc'!$A$5:$A$311,'Change in Proportion Calc'!M$5:M$311,"n",0,1)</f>
        <v>-4492</v>
      </c>
      <c r="E52" s="234">
        <f>_xlfn.XLOOKUP($A52,'Change in Proportion Calc'!$A$5:$A$311,'Change in Proportion Calc'!N$5:N$311,"n",0,1)</f>
        <v>-4492</v>
      </c>
      <c r="F52" s="234">
        <f>_xlfn.XLOOKUP($A52,'Change in Proportion Calc'!$A$5:$A$311,'Change in Proportion Calc'!O$5:O$311,"n",0,1)</f>
        <v>-4492</v>
      </c>
      <c r="G52" s="234">
        <f>_xlfn.XLOOKUP($A52,'Change in Proportion Calc'!$A$5:$A$311,'Change in Proportion Calc'!P$5:P$311,"n",0,1)</f>
        <v>-3458</v>
      </c>
      <c r="H52" s="54"/>
      <c r="I52" s="69">
        <v>-32340</v>
      </c>
      <c r="J52" s="69">
        <v>-32340</v>
      </c>
      <c r="K52" s="69">
        <v>-32340</v>
      </c>
      <c r="L52" s="69">
        <v>-32340</v>
      </c>
      <c r="M52" s="69">
        <v>-30075</v>
      </c>
      <c r="N52" s="54"/>
      <c r="O52" s="69">
        <v>2424</v>
      </c>
      <c r="P52" s="69">
        <v>2424</v>
      </c>
      <c r="Q52" s="69">
        <v>2424</v>
      </c>
      <c r="R52" s="69">
        <v>2109</v>
      </c>
      <c r="S52" s="69"/>
      <c r="T52" s="69">
        <v>40761</v>
      </c>
      <c r="U52" s="69">
        <v>40761</v>
      </c>
      <c r="V52" s="69">
        <v>36275</v>
      </c>
      <c r="W52" s="54"/>
      <c r="X52" s="69">
        <v>-6236</v>
      </c>
      <c r="Y52" s="69">
        <v>-6112</v>
      </c>
      <c r="Z52" s="54"/>
      <c r="AA52" s="108">
        <v>-50405</v>
      </c>
      <c r="AB52" s="54"/>
      <c r="AC52" s="108">
        <f>VLOOKUP(A52,'Change in Proportion Calc'!$A$5:$H$311,8,FALSE)+SUMIF($C$5:$AB$5,2026,C52:AB52)</f>
        <v>-50288</v>
      </c>
      <c r="AE52" s="107">
        <f t="shared" si="2"/>
        <v>83993</v>
      </c>
      <c r="AF52" s="107">
        <f t="shared" si="3"/>
        <v>154633</v>
      </c>
      <c r="AH52" s="107"/>
      <c r="AI52" s="108"/>
      <c r="AJ52" s="108"/>
      <c r="AK52" s="213">
        <f t="shared" si="0"/>
        <v>2040</v>
      </c>
      <c r="AL52" s="107">
        <f t="shared" si="4"/>
        <v>241</v>
      </c>
      <c r="AM52" s="107">
        <f t="shared" si="4"/>
        <v>1867</v>
      </c>
      <c r="AN52" s="107">
        <f t="shared" si="4"/>
        <v>-34723</v>
      </c>
      <c r="AO52" s="107">
        <f t="shared" si="4"/>
        <v>-34567</v>
      </c>
      <c r="AP52" s="107">
        <f t="shared" si="4"/>
        <v>-3458</v>
      </c>
    </row>
    <row r="53" spans="1:42">
      <c r="A53" s="51">
        <v>2060</v>
      </c>
      <c r="B53" s="55" t="s">
        <v>45</v>
      </c>
      <c r="C53" s="234">
        <f>_xlfn.XLOOKUP($A53,'Change in Proportion Calc'!$A$5:$A$311,'Change in Proportion Calc'!L$5:L$311,"n",0,1)</f>
        <v>9251</v>
      </c>
      <c r="D53" s="234">
        <f>_xlfn.XLOOKUP($A53,'Change in Proportion Calc'!$A$5:$A$311,'Change in Proportion Calc'!M$5:M$311,"n",0,1)</f>
        <v>9251</v>
      </c>
      <c r="E53" s="234">
        <f>_xlfn.XLOOKUP($A53,'Change in Proportion Calc'!$A$5:$A$311,'Change in Proportion Calc'!N$5:N$311,"n",0,1)</f>
        <v>9251</v>
      </c>
      <c r="F53" s="234">
        <f>_xlfn.XLOOKUP($A53,'Change in Proportion Calc'!$A$5:$A$311,'Change in Proportion Calc'!O$5:O$311,"n",0,1)</f>
        <v>9251</v>
      </c>
      <c r="G53" s="234">
        <f>_xlfn.XLOOKUP($A53,'Change in Proportion Calc'!$A$5:$A$311,'Change in Proportion Calc'!P$5:P$311,"n",0,1)</f>
        <v>7121</v>
      </c>
      <c r="H53" s="54"/>
      <c r="I53" s="69">
        <v>153258</v>
      </c>
      <c r="J53" s="69">
        <v>153258</v>
      </c>
      <c r="K53" s="69">
        <v>153258</v>
      </c>
      <c r="L53" s="69">
        <v>153258</v>
      </c>
      <c r="M53" s="69">
        <v>142530</v>
      </c>
      <c r="N53" s="54"/>
      <c r="O53" s="69">
        <v>-8731</v>
      </c>
      <c r="P53" s="69">
        <v>-8731</v>
      </c>
      <c r="Q53" s="69">
        <v>-8731</v>
      </c>
      <c r="R53" s="69">
        <v>-7597</v>
      </c>
      <c r="S53" s="69"/>
      <c r="T53" s="69">
        <v>50890</v>
      </c>
      <c r="U53" s="69">
        <v>50890</v>
      </c>
      <c r="V53" s="69">
        <v>45291</v>
      </c>
      <c r="W53" s="54"/>
      <c r="X53" s="69">
        <v>141894</v>
      </c>
      <c r="Y53" s="69">
        <v>139054</v>
      </c>
      <c r="Z53" s="54"/>
      <c r="AA53" s="108">
        <v>-67067</v>
      </c>
      <c r="AB53" s="54"/>
      <c r="AC53" s="108">
        <f>VLOOKUP(A53,'Change in Proportion Calc'!$A$5:$H$311,8,FALSE)+SUMIF($C$5:$AB$5,2026,C53:AB53)</f>
        <v>279495</v>
      </c>
      <c r="AE53" s="107">
        <f t="shared" si="2"/>
        <v>881664</v>
      </c>
      <c r="AF53" s="107">
        <f t="shared" si="3"/>
        <v>25059</v>
      </c>
      <c r="AH53" s="107"/>
      <c r="AI53" s="108"/>
      <c r="AJ53" s="108"/>
      <c r="AK53" s="213">
        <f t="shared" si="0"/>
        <v>2060</v>
      </c>
      <c r="AL53" s="107">
        <f t="shared" si="4"/>
        <v>343722</v>
      </c>
      <c r="AM53" s="107">
        <f t="shared" si="4"/>
        <v>199069</v>
      </c>
      <c r="AN53" s="107">
        <f t="shared" si="4"/>
        <v>154912</v>
      </c>
      <c r="AO53" s="107">
        <f t="shared" si="4"/>
        <v>151781</v>
      </c>
      <c r="AP53" s="107">
        <f t="shared" si="4"/>
        <v>7121</v>
      </c>
    </row>
    <row r="54" spans="1:42">
      <c r="A54" s="53">
        <v>2090</v>
      </c>
      <c r="B54" s="54" t="s">
        <v>46</v>
      </c>
      <c r="C54" s="234">
        <f>_xlfn.XLOOKUP($A54,'Change in Proportion Calc'!$A$5:$A$311,'Change in Proportion Calc'!L$5:L$311,"n",0,1)</f>
        <v>3043</v>
      </c>
      <c r="D54" s="234">
        <f>_xlfn.XLOOKUP($A54,'Change in Proportion Calc'!$A$5:$A$311,'Change in Proportion Calc'!M$5:M$311,"n",0,1)</f>
        <v>3043</v>
      </c>
      <c r="E54" s="234">
        <f>_xlfn.XLOOKUP($A54,'Change in Proportion Calc'!$A$5:$A$311,'Change in Proportion Calc'!N$5:N$311,"n",0,1)</f>
        <v>3043</v>
      </c>
      <c r="F54" s="234">
        <f>_xlfn.XLOOKUP($A54,'Change in Proportion Calc'!$A$5:$A$311,'Change in Proportion Calc'!O$5:O$311,"n",0,1)</f>
        <v>3043</v>
      </c>
      <c r="G54" s="234">
        <f>_xlfn.XLOOKUP($A54,'Change in Proportion Calc'!$A$5:$A$311,'Change in Proportion Calc'!P$5:P$311,"n",0,1)</f>
        <v>2343</v>
      </c>
      <c r="H54" s="54"/>
      <c r="I54" s="69">
        <v>-6658</v>
      </c>
      <c r="J54" s="69">
        <v>-6658</v>
      </c>
      <c r="K54" s="69">
        <v>-6658</v>
      </c>
      <c r="L54" s="69">
        <v>-6658</v>
      </c>
      <c r="M54" s="69">
        <v>-6192</v>
      </c>
      <c r="N54" s="54"/>
      <c r="O54" s="69">
        <v>10253</v>
      </c>
      <c r="P54" s="69">
        <v>10253</v>
      </c>
      <c r="Q54" s="69">
        <v>10253</v>
      </c>
      <c r="R54" s="69">
        <v>8920</v>
      </c>
      <c r="S54" s="69"/>
      <c r="T54" s="69">
        <v>19539</v>
      </c>
      <c r="U54" s="69">
        <v>19539</v>
      </c>
      <c r="V54" s="69">
        <v>17391</v>
      </c>
      <c r="W54" s="54"/>
      <c r="X54" s="69">
        <v>-39280</v>
      </c>
      <c r="Y54" s="69">
        <v>-38494</v>
      </c>
      <c r="Z54" s="54"/>
      <c r="AA54" s="108">
        <v>-8415</v>
      </c>
      <c r="AB54" s="54"/>
      <c r="AC54" s="108">
        <f>VLOOKUP(A54,'Change in Proportion Calc'!$A$5:$H$311,8,FALSE)+SUMIF($C$5:$AB$5,2026,C54:AB54)</f>
        <v>-21518</v>
      </c>
      <c r="AE54" s="107">
        <f t="shared" si="2"/>
        <v>80871</v>
      </c>
      <c r="AF54" s="107">
        <f t="shared" si="3"/>
        <v>64660</v>
      </c>
      <c r="AH54" s="107"/>
      <c r="AI54" s="108"/>
      <c r="AJ54" s="108"/>
      <c r="AK54" s="213">
        <f t="shared" si="0"/>
        <v>2090</v>
      </c>
      <c r="AL54" s="107">
        <f t="shared" si="4"/>
        <v>-12317</v>
      </c>
      <c r="AM54" s="107">
        <f t="shared" si="4"/>
        <v>24029</v>
      </c>
      <c r="AN54" s="107">
        <f t="shared" si="4"/>
        <v>5305</v>
      </c>
      <c r="AO54" s="107">
        <f t="shared" si="4"/>
        <v>-3149</v>
      </c>
      <c r="AP54" s="107">
        <f t="shared" si="4"/>
        <v>2343</v>
      </c>
    </row>
    <row r="55" spans="1:42">
      <c r="A55" s="51">
        <v>2110</v>
      </c>
      <c r="B55" s="55" t="s">
        <v>47</v>
      </c>
      <c r="C55" s="234">
        <f>_xlfn.XLOOKUP($A55,'Change in Proportion Calc'!$A$5:$A$311,'Change in Proportion Calc'!L$5:L$311,"n",0,1)</f>
        <v>58480</v>
      </c>
      <c r="D55" s="234">
        <f>_xlfn.XLOOKUP($A55,'Change in Proportion Calc'!$A$5:$A$311,'Change in Proportion Calc'!M$5:M$311,"n",0,1)</f>
        <v>58480</v>
      </c>
      <c r="E55" s="234">
        <f>_xlfn.XLOOKUP($A55,'Change in Proportion Calc'!$A$5:$A$311,'Change in Proportion Calc'!N$5:N$311,"n",0,1)</f>
        <v>58480</v>
      </c>
      <c r="F55" s="234">
        <f>_xlfn.XLOOKUP($A55,'Change in Proportion Calc'!$A$5:$A$311,'Change in Proportion Calc'!O$5:O$311,"n",0,1)</f>
        <v>58480</v>
      </c>
      <c r="G55" s="234">
        <f>_xlfn.XLOOKUP($A55,'Change in Proportion Calc'!$A$5:$A$311,'Change in Proportion Calc'!P$5:P$311,"n",0,1)</f>
        <v>45031</v>
      </c>
      <c r="H55" s="54"/>
      <c r="I55" s="69">
        <v>-128136</v>
      </c>
      <c r="J55" s="69">
        <v>-128136</v>
      </c>
      <c r="K55" s="69">
        <v>-128136</v>
      </c>
      <c r="L55" s="69">
        <v>-128136</v>
      </c>
      <c r="M55" s="69">
        <v>-119168</v>
      </c>
      <c r="N55" s="54"/>
      <c r="O55" s="69">
        <v>-382134</v>
      </c>
      <c r="P55" s="69">
        <v>-382134</v>
      </c>
      <c r="Q55" s="69">
        <v>-382134</v>
      </c>
      <c r="R55" s="69">
        <v>-332459</v>
      </c>
      <c r="S55" s="69"/>
      <c r="T55" s="69">
        <v>-119166</v>
      </c>
      <c r="U55" s="69">
        <v>-119166</v>
      </c>
      <c r="V55" s="69">
        <v>-106056</v>
      </c>
      <c r="W55" s="54"/>
      <c r="X55" s="69">
        <v>-91437</v>
      </c>
      <c r="Y55" s="69">
        <v>-89609</v>
      </c>
      <c r="Z55" s="54"/>
      <c r="AA55" s="108">
        <v>-118739</v>
      </c>
      <c r="AB55" s="54"/>
      <c r="AC55" s="108">
        <f>VLOOKUP(A55,'Change in Proportion Calc'!$A$5:$H$311,8,FALSE)+SUMIF($C$5:$AB$5,2026,C55:AB55)</f>
        <v>-781132</v>
      </c>
      <c r="AE55" s="107">
        <f t="shared" si="2"/>
        <v>278951</v>
      </c>
      <c r="AF55" s="107">
        <f t="shared" si="3"/>
        <v>1915134</v>
      </c>
      <c r="AH55" s="107"/>
      <c r="AI55" s="108"/>
      <c r="AJ55" s="108"/>
      <c r="AK55" s="213">
        <f t="shared" si="0"/>
        <v>2110</v>
      </c>
      <c r="AL55" s="107">
        <f t="shared" si="4"/>
        <v>-660565</v>
      </c>
      <c r="AM55" s="107">
        <f t="shared" si="4"/>
        <v>-557846</v>
      </c>
      <c r="AN55" s="107">
        <f t="shared" si="4"/>
        <v>-402115</v>
      </c>
      <c r="AO55" s="107">
        <f t="shared" si="4"/>
        <v>-60688</v>
      </c>
      <c r="AP55" s="107">
        <f t="shared" si="4"/>
        <v>45031</v>
      </c>
    </row>
    <row r="56" spans="1:42">
      <c r="A56" s="53">
        <v>2180</v>
      </c>
      <c r="B56" s="54" t="s">
        <v>48</v>
      </c>
      <c r="C56" s="234">
        <f>_xlfn.XLOOKUP($A56,'Change in Proportion Calc'!$A$5:$A$311,'Change in Proportion Calc'!L$5:L$311,"n",0,1)</f>
        <v>-15224</v>
      </c>
      <c r="D56" s="234">
        <f>_xlfn.XLOOKUP($A56,'Change in Proportion Calc'!$A$5:$A$311,'Change in Proportion Calc'!M$5:M$311,"n",0,1)</f>
        <v>-15224</v>
      </c>
      <c r="E56" s="234">
        <f>_xlfn.XLOOKUP($A56,'Change in Proportion Calc'!$A$5:$A$311,'Change in Proportion Calc'!N$5:N$311,"n",0,1)</f>
        <v>-15224</v>
      </c>
      <c r="F56" s="234">
        <f>_xlfn.XLOOKUP($A56,'Change in Proportion Calc'!$A$5:$A$311,'Change in Proportion Calc'!O$5:O$311,"n",0,1)</f>
        <v>-15224</v>
      </c>
      <c r="G56" s="234">
        <f>_xlfn.XLOOKUP($A56,'Change in Proportion Calc'!$A$5:$A$311,'Change in Proportion Calc'!P$5:P$311,"n",0,1)</f>
        <v>-11722</v>
      </c>
      <c r="H56" s="54"/>
      <c r="I56" s="69">
        <v>-63194</v>
      </c>
      <c r="J56" s="69">
        <v>-63194</v>
      </c>
      <c r="K56" s="69">
        <v>-63194</v>
      </c>
      <c r="L56" s="69">
        <v>-63194</v>
      </c>
      <c r="M56" s="69">
        <v>-58772</v>
      </c>
      <c r="N56" s="54"/>
      <c r="O56" s="69">
        <v>-104656</v>
      </c>
      <c r="P56" s="69">
        <v>-104656</v>
      </c>
      <c r="Q56" s="69">
        <v>-104656</v>
      </c>
      <c r="R56" s="69">
        <v>-91052</v>
      </c>
      <c r="S56" s="69"/>
      <c r="T56" s="69">
        <v>-1836</v>
      </c>
      <c r="U56" s="69">
        <v>-1836</v>
      </c>
      <c r="V56" s="69">
        <v>-1632</v>
      </c>
      <c r="W56" s="54"/>
      <c r="X56" s="69">
        <v>31829</v>
      </c>
      <c r="Y56" s="69">
        <v>31192</v>
      </c>
      <c r="Z56" s="54"/>
      <c r="AA56" s="108">
        <v>-181179</v>
      </c>
      <c r="AB56" s="54"/>
      <c r="AC56" s="108">
        <f>VLOOKUP(A56,'Change in Proportion Calc'!$A$5:$H$311,8,FALSE)+SUMIF($C$5:$AB$5,2026,C56:AB56)</f>
        <v>-334260</v>
      </c>
      <c r="AE56" s="107">
        <f t="shared" si="2"/>
        <v>31192</v>
      </c>
      <c r="AF56" s="107">
        <f t="shared" si="3"/>
        <v>624804</v>
      </c>
      <c r="AH56" s="107"/>
      <c r="AI56" s="108"/>
      <c r="AJ56" s="108"/>
      <c r="AK56" s="213">
        <f t="shared" si="0"/>
        <v>2180</v>
      </c>
      <c r="AL56" s="107">
        <f t="shared" si="4"/>
        <v>-153718</v>
      </c>
      <c r="AM56" s="107">
        <f t="shared" si="4"/>
        <v>-184706</v>
      </c>
      <c r="AN56" s="107">
        <f t="shared" si="4"/>
        <v>-169470</v>
      </c>
      <c r="AO56" s="107">
        <f t="shared" si="4"/>
        <v>-73996</v>
      </c>
      <c r="AP56" s="107">
        <f t="shared" si="4"/>
        <v>-11722</v>
      </c>
    </row>
    <row r="57" spans="1:42">
      <c r="A57" s="51">
        <v>2210</v>
      </c>
      <c r="B57" s="55" t="s">
        <v>49</v>
      </c>
      <c r="C57" s="234">
        <f>_xlfn.XLOOKUP($A57,'Change in Proportion Calc'!$A$5:$A$311,'Change in Proportion Calc'!L$5:L$311,"n",0,1)</f>
        <v>26684</v>
      </c>
      <c r="D57" s="234">
        <f>_xlfn.XLOOKUP($A57,'Change in Proportion Calc'!$A$5:$A$311,'Change in Proportion Calc'!M$5:M$311,"n",0,1)</f>
        <v>26684</v>
      </c>
      <c r="E57" s="234">
        <f>_xlfn.XLOOKUP($A57,'Change in Proportion Calc'!$A$5:$A$311,'Change in Proportion Calc'!N$5:N$311,"n",0,1)</f>
        <v>26684</v>
      </c>
      <c r="F57" s="234">
        <f>_xlfn.XLOOKUP($A57,'Change in Proportion Calc'!$A$5:$A$311,'Change in Proportion Calc'!O$5:O$311,"n",0,1)</f>
        <v>26684</v>
      </c>
      <c r="G57" s="234">
        <f>_xlfn.XLOOKUP($A57,'Change in Proportion Calc'!$A$5:$A$311,'Change in Proportion Calc'!P$5:P$311,"n",0,1)</f>
        <v>20544</v>
      </c>
      <c r="H57" s="54"/>
      <c r="I57" s="69">
        <v>27117</v>
      </c>
      <c r="J57" s="69">
        <v>27117</v>
      </c>
      <c r="K57" s="69">
        <v>27117</v>
      </c>
      <c r="L57" s="69">
        <v>27117</v>
      </c>
      <c r="M57" s="69">
        <v>25221</v>
      </c>
      <c r="N57" s="54"/>
      <c r="O57" s="69">
        <v>-95770</v>
      </c>
      <c r="P57" s="69">
        <v>-95770</v>
      </c>
      <c r="Q57" s="69">
        <v>-95770</v>
      </c>
      <c r="R57" s="69">
        <v>-83318</v>
      </c>
      <c r="S57" s="69"/>
      <c r="T57" s="69">
        <v>-73664</v>
      </c>
      <c r="U57" s="69">
        <v>-73664</v>
      </c>
      <c r="V57" s="69">
        <v>-65563</v>
      </c>
      <c r="W57" s="54"/>
      <c r="X57" s="69">
        <v>8504</v>
      </c>
      <c r="Y57" s="69">
        <v>8333</v>
      </c>
      <c r="Z57" s="54"/>
      <c r="AA57" s="108">
        <v>-76327</v>
      </c>
      <c r="AB57" s="54"/>
      <c r="AC57" s="108">
        <f>VLOOKUP(A57,'Change in Proportion Calc'!$A$5:$H$311,8,FALSE)+SUMIF($C$5:$AB$5,2026,C57:AB57)</f>
        <v>-183456</v>
      </c>
      <c r="AE57" s="107">
        <f t="shared" si="2"/>
        <v>242185</v>
      </c>
      <c r="AF57" s="107">
        <f t="shared" si="3"/>
        <v>414085</v>
      </c>
      <c r="AH57" s="107"/>
      <c r="AI57" s="108"/>
      <c r="AJ57" s="108"/>
      <c r="AK57" s="213">
        <f t="shared" si="0"/>
        <v>2210</v>
      </c>
      <c r="AL57" s="107">
        <f t="shared" si="4"/>
        <v>-107300</v>
      </c>
      <c r="AM57" s="107">
        <f t="shared" si="4"/>
        <v>-107532</v>
      </c>
      <c r="AN57" s="107">
        <f t="shared" si="4"/>
        <v>-29517</v>
      </c>
      <c r="AO57" s="107">
        <f t="shared" si="4"/>
        <v>51905</v>
      </c>
      <c r="AP57" s="107">
        <f t="shared" si="4"/>
        <v>20544</v>
      </c>
    </row>
    <row r="58" spans="1:42">
      <c r="A58" s="53">
        <v>2290</v>
      </c>
      <c r="B58" s="54" t="s">
        <v>50</v>
      </c>
      <c r="C58" s="234">
        <f>_xlfn.XLOOKUP($A58,'Change in Proportion Calc'!$A$5:$A$311,'Change in Proportion Calc'!L$5:L$311,"n",0,1)</f>
        <v>29293</v>
      </c>
      <c r="D58" s="234">
        <f>_xlfn.XLOOKUP($A58,'Change in Proportion Calc'!$A$5:$A$311,'Change in Proportion Calc'!M$5:M$311,"n",0,1)</f>
        <v>29293</v>
      </c>
      <c r="E58" s="234">
        <f>_xlfn.XLOOKUP($A58,'Change in Proportion Calc'!$A$5:$A$311,'Change in Proportion Calc'!N$5:N$311,"n",0,1)</f>
        <v>29293</v>
      </c>
      <c r="F58" s="234">
        <f>_xlfn.XLOOKUP($A58,'Change in Proportion Calc'!$A$5:$A$311,'Change in Proportion Calc'!O$5:O$311,"n",0,1)</f>
        <v>29293</v>
      </c>
      <c r="G58" s="234">
        <f>_xlfn.XLOOKUP($A58,'Change in Proportion Calc'!$A$5:$A$311,'Change in Proportion Calc'!P$5:P$311,"n",0,1)</f>
        <v>22556</v>
      </c>
      <c r="H58" s="54"/>
      <c r="I58" s="69">
        <v>-18107</v>
      </c>
      <c r="J58" s="69">
        <v>-18107</v>
      </c>
      <c r="K58" s="69">
        <v>-18107</v>
      </c>
      <c r="L58" s="69">
        <v>-18107</v>
      </c>
      <c r="M58" s="69">
        <v>-16837</v>
      </c>
      <c r="N58" s="54"/>
      <c r="O58" s="69">
        <v>-16895</v>
      </c>
      <c r="P58" s="69">
        <v>-16895</v>
      </c>
      <c r="Q58" s="69">
        <v>-16895</v>
      </c>
      <c r="R58" s="69">
        <v>-14699</v>
      </c>
      <c r="S58" s="69"/>
      <c r="T58" s="69">
        <v>-17932</v>
      </c>
      <c r="U58" s="69">
        <v>-17932</v>
      </c>
      <c r="V58" s="69">
        <v>-15960</v>
      </c>
      <c r="W58" s="54"/>
      <c r="X58" s="69">
        <v>31991</v>
      </c>
      <c r="Y58" s="69">
        <v>31350</v>
      </c>
      <c r="Z58" s="54"/>
      <c r="AA58" s="108">
        <v>-9088</v>
      </c>
      <c r="AB58" s="54"/>
      <c r="AC58" s="108">
        <f>VLOOKUP(A58,'Change in Proportion Calc'!$A$5:$H$311,8,FALSE)+SUMIF($C$5:$AB$5,2026,C58:AB58)</f>
        <v>-738</v>
      </c>
      <c r="AE58" s="107">
        <f t="shared" si="2"/>
        <v>171078</v>
      </c>
      <c r="AF58" s="107">
        <f t="shared" si="3"/>
        <v>153539</v>
      </c>
      <c r="AH58" s="107"/>
      <c r="AI58" s="108"/>
      <c r="AJ58" s="108"/>
      <c r="AK58" s="213">
        <f t="shared" si="0"/>
        <v>2290</v>
      </c>
      <c r="AL58" s="107">
        <f t="shared" si="4"/>
        <v>7709</v>
      </c>
      <c r="AM58" s="107">
        <f t="shared" si="4"/>
        <v>-21669</v>
      </c>
      <c r="AN58" s="107">
        <f t="shared" si="4"/>
        <v>-3513</v>
      </c>
      <c r="AO58" s="107">
        <f t="shared" si="4"/>
        <v>12456</v>
      </c>
      <c r="AP58" s="107">
        <f t="shared" si="4"/>
        <v>22556</v>
      </c>
    </row>
    <row r="59" spans="1:42">
      <c r="A59" s="51">
        <v>2310</v>
      </c>
      <c r="B59" s="55" t="s">
        <v>51</v>
      </c>
      <c r="C59" s="234">
        <f>_xlfn.XLOOKUP($A59,'Change in Proportion Calc'!$A$5:$A$311,'Change in Proportion Calc'!L$5:L$311,"n",0,1)</f>
        <v>-337632</v>
      </c>
      <c r="D59" s="234">
        <f>_xlfn.XLOOKUP($A59,'Change in Proportion Calc'!$A$5:$A$311,'Change in Proportion Calc'!M$5:M$311,"n",0,1)</f>
        <v>-337632</v>
      </c>
      <c r="E59" s="234">
        <f>_xlfn.XLOOKUP($A59,'Change in Proportion Calc'!$A$5:$A$311,'Change in Proportion Calc'!N$5:N$311,"n",0,1)</f>
        <v>-337632</v>
      </c>
      <c r="F59" s="234">
        <f>_xlfn.XLOOKUP($A59,'Change in Proportion Calc'!$A$5:$A$311,'Change in Proportion Calc'!O$5:O$311,"n",0,1)</f>
        <v>-337632</v>
      </c>
      <c r="G59" s="234">
        <f>_xlfn.XLOOKUP($A59,'Change in Proportion Calc'!$A$5:$A$311,'Change in Proportion Calc'!P$5:P$311,"n",0,1)</f>
        <v>-259979</v>
      </c>
      <c r="H59" s="54"/>
      <c r="I59" s="69">
        <v>229431</v>
      </c>
      <c r="J59" s="69">
        <v>229431</v>
      </c>
      <c r="K59" s="69">
        <v>229431</v>
      </c>
      <c r="L59" s="69">
        <v>229431</v>
      </c>
      <c r="M59" s="69">
        <v>213368</v>
      </c>
      <c r="N59" s="54"/>
      <c r="O59" s="69">
        <v>-346467</v>
      </c>
      <c r="P59" s="69">
        <v>-346467</v>
      </c>
      <c r="Q59" s="69">
        <v>-346467</v>
      </c>
      <c r="R59" s="69">
        <v>-301425</v>
      </c>
      <c r="S59" s="69"/>
      <c r="T59" s="69">
        <v>-149104</v>
      </c>
      <c r="U59" s="69">
        <v>-149104</v>
      </c>
      <c r="V59" s="69">
        <v>-132704</v>
      </c>
      <c r="W59" s="54"/>
      <c r="X59" s="69">
        <v>-193970</v>
      </c>
      <c r="Y59" s="69">
        <v>-190089</v>
      </c>
      <c r="Z59" s="54"/>
      <c r="AA59" s="108">
        <v>-1059051</v>
      </c>
      <c r="AB59" s="54"/>
      <c r="AC59" s="108">
        <f>VLOOKUP(A59,'Change in Proportion Calc'!$A$5:$H$311,8,FALSE)+SUMIF($C$5:$AB$5,2026,C59:AB59)</f>
        <v>-1856793</v>
      </c>
      <c r="AE59" s="107">
        <f t="shared" si="2"/>
        <v>901661</v>
      </c>
      <c r="AF59" s="107">
        <f t="shared" si="3"/>
        <v>3076763</v>
      </c>
      <c r="AH59" s="107"/>
      <c r="AI59" s="108"/>
      <c r="AJ59" s="108"/>
      <c r="AK59" s="213">
        <f t="shared" si="0"/>
        <v>2310</v>
      </c>
      <c r="AL59" s="107">
        <f t="shared" si="4"/>
        <v>-793861</v>
      </c>
      <c r="AM59" s="107">
        <f t="shared" si="4"/>
        <v>-587372</v>
      </c>
      <c r="AN59" s="107">
        <f t="shared" si="4"/>
        <v>-409626</v>
      </c>
      <c r="AO59" s="107">
        <f t="shared" si="4"/>
        <v>-124264</v>
      </c>
      <c r="AP59" s="107">
        <f t="shared" si="4"/>
        <v>-259979</v>
      </c>
    </row>
    <row r="60" spans="1:42">
      <c r="A60" s="53">
        <v>2330</v>
      </c>
      <c r="B60" s="54" t="s">
        <v>52</v>
      </c>
      <c r="C60" s="234">
        <f>_xlfn.XLOOKUP($A60,'Change in Proportion Calc'!$A$5:$A$311,'Change in Proportion Calc'!L$5:L$311,"n",0,1)</f>
        <v>180685</v>
      </c>
      <c r="D60" s="234">
        <f>_xlfn.XLOOKUP($A60,'Change in Proportion Calc'!$A$5:$A$311,'Change in Proportion Calc'!M$5:M$311,"n",0,1)</f>
        <v>180685</v>
      </c>
      <c r="E60" s="234">
        <f>_xlfn.XLOOKUP($A60,'Change in Proportion Calc'!$A$5:$A$311,'Change in Proportion Calc'!N$5:N$311,"n",0,1)</f>
        <v>180685</v>
      </c>
      <c r="F60" s="234">
        <f>_xlfn.XLOOKUP($A60,'Change in Proportion Calc'!$A$5:$A$311,'Change in Proportion Calc'!O$5:O$311,"n",0,1)</f>
        <v>180685</v>
      </c>
      <c r="G60" s="234">
        <f>_xlfn.XLOOKUP($A60,'Change in Proportion Calc'!$A$5:$A$311,'Change in Proportion Calc'!P$5:P$311,"n",0,1)</f>
        <v>139127</v>
      </c>
      <c r="H60" s="54"/>
      <c r="I60" s="69">
        <v>62833</v>
      </c>
      <c r="J60" s="69">
        <v>62833</v>
      </c>
      <c r="K60" s="69">
        <v>62833</v>
      </c>
      <c r="L60" s="69">
        <v>62833</v>
      </c>
      <c r="M60" s="69">
        <v>58436</v>
      </c>
      <c r="N60" s="54"/>
      <c r="O60" s="69">
        <v>-338937</v>
      </c>
      <c r="P60" s="69">
        <v>-338937</v>
      </c>
      <c r="Q60" s="69">
        <v>-338937</v>
      </c>
      <c r="R60" s="69">
        <v>-294873</v>
      </c>
      <c r="S60" s="69"/>
      <c r="T60" s="69">
        <v>90479</v>
      </c>
      <c r="U60" s="69">
        <v>90479</v>
      </c>
      <c r="V60" s="69">
        <v>80526</v>
      </c>
      <c r="W60" s="54"/>
      <c r="X60" s="69">
        <v>-164490</v>
      </c>
      <c r="Y60" s="69">
        <v>-161198</v>
      </c>
      <c r="Z60" s="54"/>
      <c r="AA60" s="108">
        <v>-48302</v>
      </c>
      <c r="AB60" s="54"/>
      <c r="AC60" s="108">
        <f>VLOOKUP(A60,'Change in Proportion Calc'!$A$5:$H$311,8,FALSE)+SUMIF($C$5:$AB$5,2026,C60:AB60)</f>
        <v>-217732</v>
      </c>
      <c r="AE60" s="107">
        <f t="shared" si="2"/>
        <v>1279807</v>
      </c>
      <c r="AF60" s="107">
        <f t="shared" si="3"/>
        <v>1133945</v>
      </c>
      <c r="AH60" s="107"/>
      <c r="AI60" s="108"/>
      <c r="AJ60" s="108"/>
      <c r="AK60" s="213">
        <f t="shared" si="0"/>
        <v>2330</v>
      </c>
      <c r="AL60" s="107">
        <f t="shared" si="4"/>
        <v>-166138</v>
      </c>
      <c r="AM60" s="107">
        <f t="shared" si="4"/>
        <v>-14893</v>
      </c>
      <c r="AN60" s="107">
        <f t="shared" si="4"/>
        <v>-51355</v>
      </c>
      <c r="AO60" s="107">
        <f t="shared" si="4"/>
        <v>239121</v>
      </c>
      <c r="AP60" s="107">
        <f t="shared" si="4"/>
        <v>139127</v>
      </c>
    </row>
    <row r="61" spans="1:42">
      <c r="A61" s="51">
        <v>2380</v>
      </c>
      <c r="B61" s="55" t="s">
        <v>53</v>
      </c>
      <c r="C61" s="234">
        <f>_xlfn.XLOOKUP($A61,'Change in Proportion Calc'!$A$5:$A$311,'Change in Proportion Calc'!L$5:L$311,"n",0,1)</f>
        <v>-24829</v>
      </c>
      <c r="D61" s="234">
        <f>_xlfn.XLOOKUP($A61,'Change in Proportion Calc'!$A$5:$A$311,'Change in Proportion Calc'!M$5:M$311,"n",0,1)</f>
        <v>-24829</v>
      </c>
      <c r="E61" s="234">
        <f>_xlfn.XLOOKUP($A61,'Change in Proportion Calc'!$A$5:$A$311,'Change in Proportion Calc'!N$5:N$311,"n",0,1)</f>
        <v>-24829</v>
      </c>
      <c r="F61" s="234">
        <f>_xlfn.XLOOKUP($A61,'Change in Proportion Calc'!$A$5:$A$311,'Change in Proportion Calc'!O$5:O$311,"n",0,1)</f>
        <v>-24829</v>
      </c>
      <c r="G61" s="234">
        <f>_xlfn.XLOOKUP($A61,'Change in Proportion Calc'!$A$5:$A$311,'Change in Proportion Calc'!P$5:P$311,"n",0,1)</f>
        <v>-19117</v>
      </c>
      <c r="H61" s="54"/>
      <c r="I61" s="69">
        <v>25013</v>
      </c>
      <c r="J61" s="69">
        <v>25013</v>
      </c>
      <c r="K61" s="69">
        <v>25013</v>
      </c>
      <c r="L61" s="69">
        <v>25013</v>
      </c>
      <c r="M61" s="69">
        <v>23261</v>
      </c>
      <c r="N61" s="54"/>
      <c r="O61" s="69">
        <v>15333</v>
      </c>
      <c r="P61" s="69">
        <v>15333</v>
      </c>
      <c r="Q61" s="69">
        <v>15333</v>
      </c>
      <c r="R61" s="69">
        <v>13339</v>
      </c>
      <c r="S61" s="69"/>
      <c r="T61" s="69">
        <v>26163</v>
      </c>
      <c r="U61" s="69">
        <v>26163</v>
      </c>
      <c r="V61" s="69">
        <v>23283</v>
      </c>
      <c r="W61" s="54"/>
      <c r="X61" s="69">
        <v>56693</v>
      </c>
      <c r="Y61" s="69">
        <v>55557</v>
      </c>
      <c r="Z61" s="54"/>
      <c r="AA61" s="108">
        <v>63873</v>
      </c>
      <c r="AB61" s="54"/>
      <c r="AC61" s="108">
        <f>VLOOKUP(A61,'Change in Proportion Calc'!$A$5:$H$311,8,FALSE)+SUMIF($C$5:$AB$5,2026,C61:AB61)</f>
        <v>162246</v>
      </c>
      <c r="AE61" s="107">
        <f t="shared" si="2"/>
        <v>247308</v>
      </c>
      <c r="AF61" s="107">
        <f t="shared" si="3"/>
        <v>118433</v>
      </c>
      <c r="AH61" s="107"/>
      <c r="AI61" s="108"/>
      <c r="AJ61" s="108"/>
      <c r="AK61" s="213">
        <f t="shared" si="0"/>
        <v>2380</v>
      </c>
      <c r="AL61" s="107">
        <f t="shared" si="4"/>
        <v>97237</v>
      </c>
      <c r="AM61" s="107">
        <f t="shared" si="4"/>
        <v>38800</v>
      </c>
      <c r="AN61" s="107">
        <f t="shared" si="4"/>
        <v>13523</v>
      </c>
      <c r="AO61" s="107">
        <f t="shared" si="4"/>
        <v>-1568</v>
      </c>
      <c r="AP61" s="107">
        <f t="shared" si="4"/>
        <v>-19117</v>
      </c>
    </row>
    <row r="62" spans="1:42">
      <c r="A62" s="53">
        <v>2400</v>
      </c>
      <c r="B62" s="54" t="s">
        <v>54</v>
      </c>
      <c r="C62" s="234">
        <f>_xlfn.XLOOKUP($A62,'Change in Proportion Calc'!$A$5:$A$311,'Change in Proportion Calc'!L$5:L$311,"n",0,1)</f>
        <v>-72574</v>
      </c>
      <c r="D62" s="234">
        <f>_xlfn.XLOOKUP($A62,'Change in Proportion Calc'!$A$5:$A$311,'Change in Proportion Calc'!M$5:M$311,"n",0,1)</f>
        <v>-72574</v>
      </c>
      <c r="E62" s="234">
        <f>_xlfn.XLOOKUP($A62,'Change in Proportion Calc'!$A$5:$A$311,'Change in Proportion Calc'!N$5:N$311,"n",0,1)</f>
        <v>-72574</v>
      </c>
      <c r="F62" s="234">
        <f>_xlfn.XLOOKUP($A62,'Change in Proportion Calc'!$A$5:$A$311,'Change in Proportion Calc'!O$5:O$311,"n",0,1)</f>
        <v>-72574</v>
      </c>
      <c r="G62" s="234">
        <f>_xlfn.XLOOKUP($A62,'Change in Proportion Calc'!$A$5:$A$311,'Change in Proportion Calc'!P$5:P$311,"n",0,1)</f>
        <v>-55883</v>
      </c>
      <c r="H62" s="54"/>
      <c r="I62" s="69">
        <v>498653</v>
      </c>
      <c r="J62" s="69">
        <v>498653</v>
      </c>
      <c r="K62" s="69">
        <v>498653</v>
      </c>
      <c r="L62" s="69">
        <v>498653</v>
      </c>
      <c r="M62" s="69">
        <v>463749</v>
      </c>
      <c r="N62" s="54"/>
      <c r="O62" s="69">
        <v>-549271</v>
      </c>
      <c r="P62" s="69">
        <v>-549271</v>
      </c>
      <c r="Q62" s="69">
        <v>-549271</v>
      </c>
      <c r="R62" s="69">
        <v>-477868</v>
      </c>
      <c r="S62" s="69"/>
      <c r="T62" s="69">
        <v>-98683</v>
      </c>
      <c r="U62" s="69">
        <v>-98683</v>
      </c>
      <c r="V62" s="69">
        <v>-87826</v>
      </c>
      <c r="W62" s="54"/>
      <c r="X62" s="69">
        <v>120027</v>
      </c>
      <c r="Y62" s="69">
        <v>117624</v>
      </c>
      <c r="Z62" s="54"/>
      <c r="AA62" s="108">
        <v>-1056944</v>
      </c>
      <c r="AB62" s="54"/>
      <c r="AC62" s="108">
        <f>VLOOKUP(A62,'Change in Proportion Calc'!$A$5:$H$311,8,FALSE)+SUMIF($C$5:$AB$5,2026,C62:AB62)</f>
        <v>-1158792</v>
      </c>
      <c r="AE62" s="107">
        <f t="shared" si="2"/>
        <v>2077332</v>
      </c>
      <c r="AF62" s="107">
        <f t="shared" si="3"/>
        <v>2109098</v>
      </c>
      <c r="AH62" s="107"/>
      <c r="AI62" s="108"/>
      <c r="AJ62" s="108"/>
      <c r="AK62" s="213">
        <f t="shared" si="0"/>
        <v>2400</v>
      </c>
      <c r="AL62" s="107">
        <f t="shared" si="4"/>
        <v>-104251</v>
      </c>
      <c r="AM62" s="107">
        <f t="shared" si="4"/>
        <v>-211018</v>
      </c>
      <c r="AN62" s="107">
        <f t="shared" si="4"/>
        <v>-51789</v>
      </c>
      <c r="AO62" s="107">
        <f t="shared" si="4"/>
        <v>391175</v>
      </c>
      <c r="AP62" s="107">
        <f t="shared" si="4"/>
        <v>-55883</v>
      </c>
    </row>
    <row r="63" spans="1:42">
      <c r="A63" s="51">
        <v>2410</v>
      </c>
      <c r="B63" s="55" t="s">
        <v>55</v>
      </c>
      <c r="C63" s="234">
        <f>_xlfn.XLOOKUP($A63,'Change in Proportion Calc'!$A$5:$A$311,'Change in Proportion Calc'!L$5:L$311,"n",0,1)</f>
        <v>70150</v>
      </c>
      <c r="D63" s="234">
        <f>_xlfn.XLOOKUP($A63,'Change in Proportion Calc'!$A$5:$A$311,'Change in Proportion Calc'!M$5:M$311,"n",0,1)</f>
        <v>70150</v>
      </c>
      <c r="E63" s="234">
        <f>_xlfn.XLOOKUP($A63,'Change in Proportion Calc'!$A$5:$A$311,'Change in Proportion Calc'!N$5:N$311,"n",0,1)</f>
        <v>70150</v>
      </c>
      <c r="F63" s="234">
        <f>_xlfn.XLOOKUP($A63,'Change in Proportion Calc'!$A$5:$A$311,'Change in Proportion Calc'!O$5:O$311,"n",0,1)</f>
        <v>70150</v>
      </c>
      <c r="G63" s="234">
        <f>_xlfn.XLOOKUP($A63,'Change in Proportion Calc'!$A$5:$A$311,'Change in Proportion Calc'!P$5:P$311,"n",0,1)</f>
        <v>54017</v>
      </c>
      <c r="H63" s="54"/>
      <c r="I63" s="69">
        <v>-71794</v>
      </c>
      <c r="J63" s="69">
        <v>-71794</v>
      </c>
      <c r="K63" s="69">
        <v>-71794</v>
      </c>
      <c r="L63" s="69">
        <v>-71794</v>
      </c>
      <c r="M63" s="69">
        <v>-66769</v>
      </c>
      <c r="N63" s="54"/>
      <c r="O63" s="69">
        <v>-143927</v>
      </c>
      <c r="P63" s="69">
        <v>-143927</v>
      </c>
      <c r="Q63" s="69">
        <v>-143927</v>
      </c>
      <c r="R63" s="69">
        <v>-125216</v>
      </c>
      <c r="S63" s="69"/>
      <c r="T63" s="69">
        <v>-9609</v>
      </c>
      <c r="U63" s="69">
        <v>-9609</v>
      </c>
      <c r="V63" s="69">
        <v>-8553</v>
      </c>
      <c r="W63" s="54"/>
      <c r="X63" s="69">
        <v>38146</v>
      </c>
      <c r="Y63" s="69">
        <v>37383</v>
      </c>
      <c r="Z63" s="54"/>
      <c r="AA63" s="108">
        <v>96860</v>
      </c>
      <c r="AB63" s="54"/>
      <c r="AC63" s="108">
        <f>VLOOKUP(A63,'Change in Proportion Calc'!$A$5:$H$311,8,FALSE)+SUMIF($C$5:$AB$5,2026,C63:AB63)</f>
        <v>-20174</v>
      </c>
      <c r="AE63" s="107">
        <f t="shared" si="2"/>
        <v>372000</v>
      </c>
      <c r="AF63" s="107">
        <f t="shared" si="3"/>
        <v>713383</v>
      </c>
      <c r="AH63" s="107"/>
      <c r="AI63" s="108"/>
      <c r="AJ63" s="108"/>
      <c r="AK63" s="213">
        <f t="shared" si="0"/>
        <v>2410</v>
      </c>
      <c r="AL63" s="107">
        <f t="shared" si="4"/>
        <v>-117797</v>
      </c>
      <c r="AM63" s="107">
        <f t="shared" si="4"/>
        <v>-154124</v>
      </c>
      <c r="AN63" s="107">
        <f t="shared" si="4"/>
        <v>-126860</v>
      </c>
      <c r="AO63" s="107">
        <f t="shared" si="4"/>
        <v>3381</v>
      </c>
      <c r="AP63" s="107">
        <f t="shared" si="4"/>
        <v>54017</v>
      </c>
    </row>
    <row r="64" spans="1:42">
      <c r="A64" s="53">
        <v>2500</v>
      </c>
      <c r="B64" s="54" t="s">
        <v>56</v>
      </c>
      <c r="C64" s="234">
        <f>_xlfn.XLOOKUP($A64,'Change in Proportion Calc'!$A$5:$A$311,'Change in Proportion Calc'!L$5:L$311,"n",0,1)</f>
        <v>1738</v>
      </c>
      <c r="D64" s="234">
        <f>_xlfn.XLOOKUP($A64,'Change in Proportion Calc'!$A$5:$A$311,'Change in Proportion Calc'!M$5:M$311,"n",0,1)</f>
        <v>1738</v>
      </c>
      <c r="E64" s="234">
        <f>_xlfn.XLOOKUP($A64,'Change in Proportion Calc'!$A$5:$A$311,'Change in Proportion Calc'!N$5:N$311,"n",0,1)</f>
        <v>1738</v>
      </c>
      <c r="F64" s="234">
        <f>_xlfn.XLOOKUP($A64,'Change in Proportion Calc'!$A$5:$A$311,'Change in Proportion Calc'!O$5:O$311,"n",0,1)</f>
        <v>1738</v>
      </c>
      <c r="G64" s="234">
        <f>_xlfn.XLOOKUP($A64,'Change in Proportion Calc'!$A$5:$A$311,'Change in Proportion Calc'!P$5:P$311,"n",0,1)</f>
        <v>1341</v>
      </c>
      <c r="H64" s="54"/>
      <c r="I64" s="69">
        <v>-25696</v>
      </c>
      <c r="J64" s="69">
        <v>-25696</v>
      </c>
      <c r="K64" s="69">
        <v>-25696</v>
      </c>
      <c r="L64" s="69">
        <v>-25696</v>
      </c>
      <c r="M64" s="69">
        <v>-23898</v>
      </c>
      <c r="N64" s="54"/>
      <c r="O64" s="69">
        <v>18053</v>
      </c>
      <c r="P64" s="69">
        <v>18053</v>
      </c>
      <c r="Q64" s="69">
        <v>18053</v>
      </c>
      <c r="R64" s="69">
        <v>15704</v>
      </c>
      <c r="S64" s="69"/>
      <c r="T64" s="69">
        <v>20243</v>
      </c>
      <c r="U64" s="69">
        <v>20243</v>
      </c>
      <c r="V64" s="69">
        <v>18016</v>
      </c>
      <c r="W64" s="54"/>
      <c r="X64" s="69">
        <v>5102</v>
      </c>
      <c r="Y64" s="69">
        <v>5002</v>
      </c>
      <c r="Z64" s="54"/>
      <c r="AA64" s="108">
        <v>-11948</v>
      </c>
      <c r="AB64" s="54"/>
      <c r="AC64" s="108">
        <f>VLOOKUP(A64,'Change in Proportion Calc'!$A$5:$H$311,8,FALSE)+SUMIF($C$5:$AB$5,2026,C64:AB64)</f>
        <v>7492</v>
      </c>
      <c r="AE64" s="107">
        <f t="shared" si="2"/>
        <v>103364</v>
      </c>
      <c r="AF64" s="107">
        <f t="shared" si="3"/>
        <v>100986</v>
      </c>
      <c r="AH64" s="107"/>
      <c r="AI64" s="108"/>
      <c r="AJ64" s="108"/>
      <c r="AK64" s="213">
        <f t="shared" si="0"/>
        <v>2500</v>
      </c>
      <c r="AL64" s="107">
        <f t="shared" si="4"/>
        <v>19340</v>
      </c>
      <c r="AM64" s="107">
        <f t="shared" si="4"/>
        <v>12111</v>
      </c>
      <c r="AN64" s="107">
        <f t="shared" si="4"/>
        <v>-8254</v>
      </c>
      <c r="AO64" s="107">
        <f t="shared" si="4"/>
        <v>-22160</v>
      </c>
      <c r="AP64" s="107">
        <f t="shared" si="4"/>
        <v>1341</v>
      </c>
    </row>
    <row r="65" spans="1:42">
      <c r="A65" s="51">
        <v>2550</v>
      </c>
      <c r="B65" s="55" t="s">
        <v>57</v>
      </c>
      <c r="C65" s="234">
        <f>_xlfn.XLOOKUP($A65,'Change in Proportion Calc'!$A$5:$A$311,'Change in Proportion Calc'!L$5:L$311,"n",0,1)</f>
        <v>-4595</v>
      </c>
      <c r="D65" s="234">
        <f>_xlfn.XLOOKUP($A65,'Change in Proportion Calc'!$A$5:$A$311,'Change in Proportion Calc'!M$5:M$311,"n",0,1)</f>
        <v>-4595</v>
      </c>
      <c r="E65" s="234">
        <f>_xlfn.XLOOKUP($A65,'Change in Proportion Calc'!$A$5:$A$311,'Change in Proportion Calc'!N$5:N$311,"n",0,1)</f>
        <v>-4595</v>
      </c>
      <c r="F65" s="234">
        <f>_xlfn.XLOOKUP($A65,'Change in Proportion Calc'!$A$5:$A$311,'Change in Proportion Calc'!O$5:O$311,"n",0,1)</f>
        <v>-4595</v>
      </c>
      <c r="G65" s="234">
        <f>_xlfn.XLOOKUP($A65,'Change in Proportion Calc'!$A$5:$A$311,'Change in Proportion Calc'!P$5:P$311,"n",0,1)</f>
        <v>-3540</v>
      </c>
      <c r="H65" s="54"/>
      <c r="I65" s="69">
        <v>-26017</v>
      </c>
      <c r="J65" s="69">
        <v>-26017</v>
      </c>
      <c r="K65" s="69">
        <v>-26017</v>
      </c>
      <c r="L65" s="69">
        <v>-26017</v>
      </c>
      <c r="M65" s="69">
        <v>-24195</v>
      </c>
      <c r="N65" s="54"/>
      <c r="O65" s="69">
        <v>-21494</v>
      </c>
      <c r="P65" s="69">
        <v>-21494</v>
      </c>
      <c r="Q65" s="69">
        <v>-21494</v>
      </c>
      <c r="R65" s="69">
        <v>-18699</v>
      </c>
      <c r="S65" s="69"/>
      <c r="T65" s="69">
        <v>-7516</v>
      </c>
      <c r="U65" s="69">
        <v>-7516</v>
      </c>
      <c r="V65" s="69">
        <v>-6687</v>
      </c>
      <c r="W65" s="54"/>
      <c r="X65" s="69">
        <v>-13039</v>
      </c>
      <c r="Y65" s="69">
        <v>-12780</v>
      </c>
      <c r="Z65" s="54"/>
      <c r="AA65" s="108">
        <v>-54531</v>
      </c>
      <c r="AB65" s="54"/>
      <c r="AC65" s="108">
        <f>VLOOKUP(A65,'Change in Proportion Calc'!$A$5:$H$311,8,FALSE)+SUMIF($C$5:$AB$5,2026,C65:AB65)</f>
        <v>-127192</v>
      </c>
      <c r="AE65" s="107">
        <f t="shared" si="2"/>
        <v>0</v>
      </c>
      <c r="AF65" s="107">
        <f t="shared" si="3"/>
        <v>212836</v>
      </c>
      <c r="AH65" s="107"/>
      <c r="AI65" s="108"/>
      <c r="AJ65" s="108"/>
      <c r="AK65" s="213">
        <f t="shared" si="0"/>
        <v>2550</v>
      </c>
      <c r="AL65" s="107">
        <f t="shared" si="4"/>
        <v>-72402</v>
      </c>
      <c r="AM65" s="107">
        <f t="shared" si="4"/>
        <v>-58793</v>
      </c>
      <c r="AN65" s="107">
        <f t="shared" si="4"/>
        <v>-49311</v>
      </c>
      <c r="AO65" s="107">
        <f t="shared" si="4"/>
        <v>-28790</v>
      </c>
      <c r="AP65" s="107">
        <f t="shared" si="4"/>
        <v>-3540</v>
      </c>
    </row>
    <row r="66" spans="1:42">
      <c r="A66" s="53">
        <v>2570</v>
      </c>
      <c r="B66" s="54" t="s">
        <v>58</v>
      </c>
      <c r="C66" s="234">
        <f>_xlfn.XLOOKUP($A66,'Change in Proportion Calc'!$A$5:$A$311,'Change in Proportion Calc'!L$5:L$311,"n",0,1)</f>
        <v>19545</v>
      </c>
      <c r="D66" s="234">
        <f>_xlfn.XLOOKUP($A66,'Change in Proportion Calc'!$A$5:$A$311,'Change in Proportion Calc'!M$5:M$311,"n",0,1)</f>
        <v>19545</v>
      </c>
      <c r="E66" s="234">
        <f>_xlfn.XLOOKUP($A66,'Change in Proportion Calc'!$A$5:$A$311,'Change in Proportion Calc'!N$5:N$311,"n",0,1)</f>
        <v>19545</v>
      </c>
      <c r="F66" s="234">
        <f>_xlfn.XLOOKUP($A66,'Change in Proportion Calc'!$A$5:$A$311,'Change in Proportion Calc'!O$5:O$311,"n",0,1)</f>
        <v>19545</v>
      </c>
      <c r="G66" s="234">
        <f>_xlfn.XLOOKUP($A66,'Change in Proportion Calc'!$A$5:$A$311,'Change in Proportion Calc'!P$5:P$311,"n",0,1)</f>
        <v>15047</v>
      </c>
      <c r="H66" s="54"/>
      <c r="I66" s="69">
        <v>7581</v>
      </c>
      <c r="J66" s="69">
        <v>7581</v>
      </c>
      <c r="K66" s="69">
        <v>7581</v>
      </c>
      <c r="L66" s="69">
        <v>7581</v>
      </c>
      <c r="M66" s="69">
        <v>7051</v>
      </c>
      <c r="N66" s="54"/>
      <c r="O66" s="69">
        <v>-32290</v>
      </c>
      <c r="P66" s="69">
        <v>-32290</v>
      </c>
      <c r="Q66" s="69">
        <v>-32290</v>
      </c>
      <c r="R66" s="69">
        <v>-28090</v>
      </c>
      <c r="S66" s="69"/>
      <c r="T66" s="69">
        <v>-22433</v>
      </c>
      <c r="U66" s="69">
        <v>-22433</v>
      </c>
      <c r="V66" s="69">
        <v>-19966</v>
      </c>
      <c r="W66" s="54"/>
      <c r="X66" s="69">
        <v>-8747</v>
      </c>
      <c r="Y66" s="69">
        <v>-8571</v>
      </c>
      <c r="Z66" s="54"/>
      <c r="AA66" s="108">
        <v>-33831</v>
      </c>
      <c r="AB66" s="54"/>
      <c r="AC66" s="108">
        <f>VLOOKUP(A66,'Change in Proportion Calc'!$A$5:$H$311,8,FALSE)+SUMIF($C$5:$AB$5,2026,C66:AB66)</f>
        <v>-70175</v>
      </c>
      <c r="AE66" s="107">
        <f t="shared" si="2"/>
        <v>123021</v>
      </c>
      <c r="AF66" s="107">
        <f t="shared" si="3"/>
        <v>143640</v>
      </c>
      <c r="AH66" s="107"/>
      <c r="AI66" s="108"/>
      <c r="AJ66" s="108"/>
      <c r="AK66" s="213">
        <f t="shared" si="0"/>
        <v>2570</v>
      </c>
      <c r="AL66" s="107">
        <f t="shared" si="4"/>
        <v>-36168</v>
      </c>
      <c r="AM66" s="107">
        <f t="shared" si="4"/>
        <v>-25130</v>
      </c>
      <c r="AN66" s="107">
        <f t="shared" si="4"/>
        <v>-964</v>
      </c>
      <c r="AO66" s="107">
        <f t="shared" si="4"/>
        <v>26596</v>
      </c>
      <c r="AP66" s="107">
        <f t="shared" si="4"/>
        <v>15047</v>
      </c>
    </row>
    <row r="67" spans="1:42">
      <c r="A67" s="51">
        <v>2620</v>
      </c>
      <c r="B67" s="55" t="s">
        <v>59</v>
      </c>
      <c r="C67" s="234">
        <f>_xlfn.XLOOKUP($A67,'Change in Proportion Calc'!$A$5:$A$311,'Change in Proportion Calc'!L$5:L$311,"n",0,1)</f>
        <v>13975</v>
      </c>
      <c r="D67" s="234">
        <f>_xlfn.XLOOKUP($A67,'Change in Proportion Calc'!$A$5:$A$311,'Change in Proportion Calc'!M$5:M$311,"n",0,1)</f>
        <v>13975</v>
      </c>
      <c r="E67" s="234">
        <f>_xlfn.XLOOKUP($A67,'Change in Proportion Calc'!$A$5:$A$311,'Change in Proportion Calc'!N$5:N$311,"n",0,1)</f>
        <v>13975</v>
      </c>
      <c r="F67" s="234">
        <f>_xlfn.XLOOKUP($A67,'Change in Proportion Calc'!$A$5:$A$311,'Change in Proportion Calc'!O$5:O$311,"n",0,1)</f>
        <v>13975</v>
      </c>
      <c r="G67" s="234">
        <f>_xlfn.XLOOKUP($A67,'Change in Proportion Calc'!$A$5:$A$311,'Change in Proportion Calc'!P$5:P$311,"n",0,1)</f>
        <v>10759</v>
      </c>
      <c r="H67" s="54"/>
      <c r="I67" s="69">
        <v>373552</v>
      </c>
      <c r="J67" s="69">
        <v>373552</v>
      </c>
      <c r="K67" s="69">
        <v>373552</v>
      </c>
      <c r="L67" s="69">
        <v>373552</v>
      </c>
      <c r="M67" s="69">
        <v>347401</v>
      </c>
      <c r="N67" s="54"/>
      <c r="O67" s="69">
        <v>-283487</v>
      </c>
      <c r="P67" s="69">
        <v>-283487</v>
      </c>
      <c r="Q67" s="69">
        <v>-283487</v>
      </c>
      <c r="R67" s="69">
        <v>-246633</v>
      </c>
      <c r="S67" s="69"/>
      <c r="T67" s="69">
        <v>-102976</v>
      </c>
      <c r="U67" s="69">
        <v>-102976</v>
      </c>
      <c r="V67" s="69">
        <v>-91647</v>
      </c>
      <c r="W67" s="54"/>
      <c r="X67" s="69">
        <v>-125777</v>
      </c>
      <c r="Y67" s="69">
        <v>-123259</v>
      </c>
      <c r="Z67" s="54"/>
      <c r="AA67" s="108">
        <v>137421</v>
      </c>
      <c r="AB67" s="54"/>
      <c r="AC67" s="108">
        <f>VLOOKUP(A67,'Change in Proportion Calc'!$A$5:$H$311,8,FALSE)+SUMIF($C$5:$AB$5,2026,C67:AB67)</f>
        <v>12708</v>
      </c>
      <c r="AE67" s="107">
        <f t="shared" si="2"/>
        <v>1534716</v>
      </c>
      <c r="AF67" s="107">
        <f t="shared" si="3"/>
        <v>1131489</v>
      </c>
      <c r="AH67" s="107"/>
      <c r="AI67" s="108"/>
      <c r="AJ67" s="108"/>
      <c r="AK67" s="213">
        <f t="shared" si="0"/>
        <v>2620</v>
      </c>
      <c r="AL67" s="107">
        <f t="shared" si="4"/>
        <v>-122195</v>
      </c>
      <c r="AM67" s="107">
        <f t="shared" si="4"/>
        <v>12393</v>
      </c>
      <c r="AN67" s="107">
        <f t="shared" si="4"/>
        <v>140894</v>
      </c>
      <c r="AO67" s="107">
        <f t="shared" si="4"/>
        <v>361376</v>
      </c>
      <c r="AP67" s="107">
        <f t="shared" si="4"/>
        <v>10759</v>
      </c>
    </row>
    <row r="68" spans="1:42">
      <c r="A68" s="53">
        <v>2630</v>
      </c>
      <c r="B68" s="54" t="s">
        <v>60</v>
      </c>
      <c r="C68" s="234">
        <f>_xlfn.XLOOKUP($A68,'Change in Proportion Calc'!$A$5:$A$311,'Change in Proportion Calc'!L$5:L$311,"n",0,1)</f>
        <v>-65302</v>
      </c>
      <c r="D68" s="234">
        <f>_xlfn.XLOOKUP($A68,'Change in Proportion Calc'!$A$5:$A$311,'Change in Proportion Calc'!M$5:M$311,"n",0,1)</f>
        <v>-65302</v>
      </c>
      <c r="E68" s="234">
        <f>_xlfn.XLOOKUP($A68,'Change in Proportion Calc'!$A$5:$A$311,'Change in Proportion Calc'!N$5:N$311,"n",0,1)</f>
        <v>-65302</v>
      </c>
      <c r="F68" s="234">
        <f>_xlfn.XLOOKUP($A68,'Change in Proportion Calc'!$A$5:$A$311,'Change in Proportion Calc'!O$5:O$311,"n",0,1)</f>
        <v>-65302</v>
      </c>
      <c r="G68" s="234">
        <f>_xlfn.XLOOKUP($A68,'Change in Proportion Calc'!$A$5:$A$311,'Change in Proportion Calc'!P$5:P$311,"n",0,1)</f>
        <v>-50281</v>
      </c>
      <c r="H68" s="54"/>
      <c r="I68" s="69">
        <v>-286451</v>
      </c>
      <c r="J68" s="69">
        <v>-286451</v>
      </c>
      <c r="K68" s="69">
        <v>-286451</v>
      </c>
      <c r="L68" s="69">
        <v>-286451</v>
      </c>
      <c r="M68" s="69">
        <v>-266399</v>
      </c>
      <c r="N68" s="54"/>
      <c r="O68" s="69">
        <v>-164835</v>
      </c>
      <c r="P68" s="69">
        <v>-164835</v>
      </c>
      <c r="Q68" s="69">
        <v>-164835</v>
      </c>
      <c r="R68" s="69">
        <v>-143408</v>
      </c>
      <c r="S68" s="69"/>
      <c r="T68" s="69">
        <v>367762</v>
      </c>
      <c r="U68" s="69">
        <v>367762</v>
      </c>
      <c r="V68" s="69">
        <v>327307</v>
      </c>
      <c r="W68" s="54"/>
      <c r="X68" s="69">
        <v>-158820</v>
      </c>
      <c r="Y68" s="69">
        <v>-155646</v>
      </c>
      <c r="Z68" s="54"/>
      <c r="AA68" s="108">
        <v>-201880</v>
      </c>
      <c r="AB68" s="54"/>
      <c r="AC68" s="108">
        <f>VLOOKUP(A68,'Change in Proportion Calc'!$A$5:$H$311,8,FALSE)+SUMIF($C$5:$AB$5,2026,C68:AB68)</f>
        <v>-509526</v>
      </c>
      <c r="AE68" s="107">
        <f t="shared" si="2"/>
        <v>695069</v>
      </c>
      <c r="AF68" s="107">
        <f t="shared" si="3"/>
        <v>2065965</v>
      </c>
      <c r="AH68" s="107"/>
      <c r="AI68" s="108"/>
      <c r="AJ68" s="108"/>
      <c r="AK68" s="213">
        <f t="shared" si="0"/>
        <v>2630</v>
      </c>
      <c r="AL68" s="107">
        <f t="shared" si="4"/>
        <v>-304472</v>
      </c>
      <c r="AM68" s="107">
        <f t="shared" si="4"/>
        <v>-189281</v>
      </c>
      <c r="AN68" s="107">
        <f t="shared" si="4"/>
        <v>-495161</v>
      </c>
      <c r="AO68" s="107">
        <f t="shared" si="4"/>
        <v>-331701</v>
      </c>
      <c r="AP68" s="107">
        <f t="shared" si="4"/>
        <v>-50281</v>
      </c>
    </row>
    <row r="69" spans="1:42">
      <c r="A69" s="51">
        <v>2690</v>
      </c>
      <c r="B69" s="55" t="s">
        <v>61</v>
      </c>
      <c r="C69" s="234">
        <f>_xlfn.XLOOKUP($A69,'Change in Proportion Calc'!$A$5:$A$311,'Change in Proportion Calc'!L$5:L$311,"n",0,1)</f>
        <v>272270</v>
      </c>
      <c r="D69" s="234">
        <f>_xlfn.XLOOKUP($A69,'Change in Proportion Calc'!$A$5:$A$311,'Change in Proportion Calc'!M$5:M$311,"n",0,1)</f>
        <v>272270</v>
      </c>
      <c r="E69" s="234">
        <f>_xlfn.XLOOKUP($A69,'Change in Proportion Calc'!$A$5:$A$311,'Change in Proportion Calc'!N$5:N$311,"n",0,1)</f>
        <v>272270</v>
      </c>
      <c r="F69" s="234">
        <f>_xlfn.XLOOKUP($A69,'Change in Proportion Calc'!$A$5:$A$311,'Change in Proportion Calc'!O$5:O$311,"n",0,1)</f>
        <v>272270</v>
      </c>
      <c r="G69" s="234">
        <f>_xlfn.XLOOKUP($A69,'Change in Proportion Calc'!$A$5:$A$311,'Change in Proportion Calc'!P$5:P$311,"n",0,1)</f>
        <v>209650</v>
      </c>
      <c r="H69" s="54"/>
      <c r="I69" s="69">
        <v>-275997</v>
      </c>
      <c r="J69" s="69">
        <v>-275997</v>
      </c>
      <c r="K69" s="69">
        <v>-275997</v>
      </c>
      <c r="L69" s="69">
        <v>-275997</v>
      </c>
      <c r="M69" s="69">
        <v>-256677</v>
      </c>
      <c r="N69" s="54"/>
      <c r="O69" s="69">
        <v>322430</v>
      </c>
      <c r="P69" s="69">
        <v>322430</v>
      </c>
      <c r="Q69" s="69">
        <v>322430</v>
      </c>
      <c r="R69" s="69">
        <v>280515</v>
      </c>
      <c r="S69" s="69"/>
      <c r="T69" s="69">
        <v>-122146</v>
      </c>
      <c r="U69" s="69">
        <v>-122146</v>
      </c>
      <c r="V69" s="69">
        <v>-108712</v>
      </c>
      <c r="W69" s="54"/>
      <c r="X69" s="69">
        <v>-985885</v>
      </c>
      <c r="Y69" s="69">
        <v>-966165</v>
      </c>
      <c r="Z69" s="54"/>
      <c r="AA69" s="108">
        <v>-744660</v>
      </c>
      <c r="AB69" s="54"/>
      <c r="AC69" s="108">
        <f>VLOOKUP(A69,'Change in Proportion Calc'!$A$5:$H$311,8,FALSE)+SUMIF($C$5:$AB$5,2026,C69:AB69)</f>
        <v>-1533988</v>
      </c>
      <c r="AE69" s="107">
        <f t="shared" si="2"/>
        <v>2224105</v>
      </c>
      <c r="AF69" s="107">
        <f t="shared" si="3"/>
        <v>2281691</v>
      </c>
      <c r="AH69" s="107"/>
      <c r="AI69" s="108"/>
      <c r="AJ69" s="108"/>
      <c r="AK69" s="213">
        <f t="shared" si="0"/>
        <v>2690</v>
      </c>
      <c r="AL69" s="107">
        <f t="shared" si="4"/>
        <v>-769608</v>
      </c>
      <c r="AM69" s="107">
        <f t="shared" si="4"/>
        <v>209991</v>
      </c>
      <c r="AN69" s="107">
        <f t="shared" si="4"/>
        <v>276788</v>
      </c>
      <c r="AO69" s="107">
        <f t="shared" si="4"/>
        <v>15593</v>
      </c>
      <c r="AP69" s="107">
        <f t="shared" si="4"/>
        <v>209650</v>
      </c>
    </row>
    <row r="70" spans="1:42">
      <c r="A70" s="53">
        <v>2710</v>
      </c>
      <c r="B70" s="54" t="s">
        <v>62</v>
      </c>
      <c r="C70" s="234">
        <f>_xlfn.XLOOKUP($A70,'Change in Proportion Calc'!$A$5:$A$311,'Change in Proportion Calc'!L$5:L$311,"n",0,1)</f>
        <v>-8734</v>
      </c>
      <c r="D70" s="234">
        <f>_xlfn.XLOOKUP($A70,'Change in Proportion Calc'!$A$5:$A$311,'Change in Proportion Calc'!M$5:M$311,"n",0,1)</f>
        <v>-8734</v>
      </c>
      <c r="E70" s="234">
        <f>_xlfn.XLOOKUP($A70,'Change in Proportion Calc'!$A$5:$A$311,'Change in Proportion Calc'!N$5:N$311,"n",0,1)</f>
        <v>-8734</v>
      </c>
      <c r="F70" s="234">
        <f>_xlfn.XLOOKUP($A70,'Change in Proportion Calc'!$A$5:$A$311,'Change in Proportion Calc'!O$5:O$311,"n",0,1)</f>
        <v>-8734</v>
      </c>
      <c r="G70" s="234">
        <f>_xlfn.XLOOKUP($A70,'Change in Proportion Calc'!$A$5:$A$311,'Change in Proportion Calc'!P$5:P$311,"n",0,1)</f>
        <v>-6725</v>
      </c>
      <c r="H70" s="54"/>
      <c r="I70" s="69">
        <v>-18507</v>
      </c>
      <c r="J70" s="69">
        <v>-18507</v>
      </c>
      <c r="K70" s="69">
        <v>-18507</v>
      </c>
      <c r="L70" s="69">
        <v>-18507</v>
      </c>
      <c r="M70" s="69">
        <v>-17212</v>
      </c>
      <c r="N70" s="54"/>
      <c r="O70" s="69">
        <v>-37888</v>
      </c>
      <c r="P70" s="69">
        <v>-37888</v>
      </c>
      <c r="Q70" s="69">
        <v>-37888</v>
      </c>
      <c r="R70" s="69">
        <v>-32962</v>
      </c>
      <c r="S70" s="69"/>
      <c r="T70" s="69">
        <v>-18074</v>
      </c>
      <c r="U70" s="69">
        <v>-18074</v>
      </c>
      <c r="V70" s="69">
        <v>-16088</v>
      </c>
      <c r="W70" s="54"/>
      <c r="X70" s="69">
        <v>-25836</v>
      </c>
      <c r="Y70" s="69">
        <v>-25317</v>
      </c>
      <c r="Z70" s="54"/>
      <c r="AA70" s="108">
        <v>-43758</v>
      </c>
      <c r="AB70" s="54"/>
      <c r="AC70" s="108">
        <f>VLOOKUP(A70,'Change in Proportion Calc'!$A$5:$H$311,8,FALSE)+SUMIF($C$5:$AB$5,2026,C70:AB70)</f>
        <v>-152797</v>
      </c>
      <c r="AE70" s="107">
        <f t="shared" si="2"/>
        <v>0</v>
      </c>
      <c r="AF70" s="107">
        <f t="shared" si="3"/>
        <v>282611</v>
      </c>
      <c r="AH70" s="107"/>
      <c r="AI70" s="108"/>
      <c r="AJ70" s="108"/>
      <c r="AK70" s="213">
        <f t="shared" si="0"/>
        <v>2710</v>
      </c>
      <c r="AL70" s="107">
        <f t="shared" si="4"/>
        <v>-108520</v>
      </c>
      <c r="AM70" s="107">
        <f t="shared" si="4"/>
        <v>-81217</v>
      </c>
      <c r="AN70" s="107">
        <f t="shared" si="4"/>
        <v>-60203</v>
      </c>
      <c r="AO70" s="107">
        <f t="shared" si="4"/>
        <v>-25946</v>
      </c>
      <c r="AP70" s="107">
        <f t="shared" si="4"/>
        <v>-6725</v>
      </c>
    </row>
    <row r="71" spans="1:42">
      <c r="A71" s="51">
        <v>2730</v>
      </c>
      <c r="B71" s="55" t="s">
        <v>63</v>
      </c>
      <c r="C71" s="234">
        <f>_xlfn.XLOOKUP($A71,'Change in Proportion Calc'!$A$5:$A$311,'Change in Proportion Calc'!L$5:L$311,"n",0,1)</f>
        <v>33367</v>
      </c>
      <c r="D71" s="234">
        <f>_xlfn.XLOOKUP($A71,'Change in Proportion Calc'!$A$5:$A$311,'Change in Proportion Calc'!M$5:M$311,"n",0,1)</f>
        <v>33367</v>
      </c>
      <c r="E71" s="234">
        <f>_xlfn.XLOOKUP($A71,'Change in Proportion Calc'!$A$5:$A$311,'Change in Proportion Calc'!N$5:N$311,"n",0,1)</f>
        <v>33367</v>
      </c>
      <c r="F71" s="234">
        <f>_xlfn.XLOOKUP($A71,'Change in Proportion Calc'!$A$5:$A$311,'Change in Proportion Calc'!O$5:O$311,"n",0,1)</f>
        <v>33367</v>
      </c>
      <c r="G71" s="234">
        <f>_xlfn.XLOOKUP($A71,'Change in Proportion Calc'!$A$5:$A$311,'Change in Proportion Calc'!P$5:P$311,"n",0,1)</f>
        <v>25691</v>
      </c>
      <c r="H71" s="54"/>
      <c r="I71" s="69">
        <v>48156</v>
      </c>
      <c r="J71" s="69">
        <v>48156</v>
      </c>
      <c r="K71" s="69">
        <v>48156</v>
      </c>
      <c r="L71" s="69">
        <v>48156</v>
      </c>
      <c r="M71" s="69">
        <v>44783</v>
      </c>
      <c r="N71" s="54"/>
      <c r="O71" s="69">
        <v>-1700</v>
      </c>
      <c r="P71" s="69">
        <v>-1700</v>
      </c>
      <c r="Q71" s="69">
        <v>-1700</v>
      </c>
      <c r="R71" s="69">
        <v>-1481</v>
      </c>
      <c r="S71" s="69"/>
      <c r="T71" s="69">
        <v>7827</v>
      </c>
      <c r="U71" s="69">
        <v>7827</v>
      </c>
      <c r="V71" s="69">
        <v>6967</v>
      </c>
      <c r="W71" s="54"/>
      <c r="X71" s="69">
        <v>22839</v>
      </c>
      <c r="Y71" s="69">
        <v>22382</v>
      </c>
      <c r="Z71" s="54"/>
      <c r="AA71" s="108">
        <v>-51755</v>
      </c>
      <c r="AB71" s="54"/>
      <c r="AC71" s="108">
        <f>VLOOKUP(A71,'Change in Proportion Calc'!$A$5:$H$311,8,FALSE)+SUMIF($C$5:$AB$5,2026,C71:AB71)</f>
        <v>58734</v>
      </c>
      <c r="AE71" s="107">
        <f t="shared" si="2"/>
        <v>385586</v>
      </c>
      <c r="AF71" s="107">
        <f t="shared" si="3"/>
        <v>4881</v>
      </c>
      <c r="AH71" s="107"/>
      <c r="AI71" s="108"/>
      <c r="AJ71" s="108"/>
      <c r="AK71" s="213">
        <f t="shared" si="0"/>
        <v>2730</v>
      </c>
      <c r="AL71" s="107">
        <f t="shared" si="4"/>
        <v>110032</v>
      </c>
      <c r="AM71" s="107">
        <f t="shared" si="4"/>
        <v>86790</v>
      </c>
      <c r="AN71" s="107">
        <f t="shared" si="4"/>
        <v>80042</v>
      </c>
      <c r="AO71" s="107">
        <f t="shared" si="4"/>
        <v>78150</v>
      </c>
      <c r="AP71" s="107">
        <f t="shared" si="4"/>
        <v>25691</v>
      </c>
    </row>
    <row r="72" spans="1:42">
      <c r="A72" s="53">
        <v>2950</v>
      </c>
      <c r="B72" s="54" t="s">
        <v>64</v>
      </c>
      <c r="C72" s="234">
        <f>_xlfn.XLOOKUP($A72,'Change in Proportion Calc'!$A$5:$A$311,'Change in Proportion Calc'!L$5:L$311,"n",0,1)</f>
        <v>76794</v>
      </c>
      <c r="D72" s="234">
        <f>_xlfn.XLOOKUP($A72,'Change in Proportion Calc'!$A$5:$A$311,'Change in Proportion Calc'!M$5:M$311,"n",0,1)</f>
        <v>76794</v>
      </c>
      <c r="E72" s="234">
        <f>_xlfn.XLOOKUP($A72,'Change in Proportion Calc'!$A$5:$A$311,'Change in Proportion Calc'!N$5:N$311,"n",0,1)</f>
        <v>76794</v>
      </c>
      <c r="F72" s="234">
        <f>_xlfn.XLOOKUP($A72,'Change in Proportion Calc'!$A$5:$A$311,'Change in Proportion Calc'!O$5:O$311,"n",0,1)</f>
        <v>76794</v>
      </c>
      <c r="G72" s="234">
        <f>_xlfn.XLOOKUP($A72,'Change in Proportion Calc'!$A$5:$A$311,'Change in Proportion Calc'!P$5:P$311,"n",0,1)</f>
        <v>59134</v>
      </c>
      <c r="H72" s="54"/>
      <c r="I72" s="69">
        <v>49868</v>
      </c>
      <c r="J72" s="69">
        <v>49868</v>
      </c>
      <c r="K72" s="69">
        <v>49868</v>
      </c>
      <c r="L72" s="69">
        <v>49868</v>
      </c>
      <c r="M72" s="69">
        <v>46377</v>
      </c>
      <c r="N72" s="54"/>
      <c r="O72" s="69">
        <v>-76998</v>
      </c>
      <c r="P72" s="69">
        <v>-76998</v>
      </c>
      <c r="Q72" s="69">
        <v>-76998</v>
      </c>
      <c r="R72" s="69">
        <v>-66989</v>
      </c>
      <c r="S72" s="69"/>
      <c r="T72" s="69">
        <v>-12109</v>
      </c>
      <c r="U72" s="69">
        <v>-12109</v>
      </c>
      <c r="V72" s="69">
        <v>-10775</v>
      </c>
      <c r="W72" s="54"/>
      <c r="X72" s="69">
        <v>26889</v>
      </c>
      <c r="Y72" s="69">
        <v>26349</v>
      </c>
      <c r="Z72" s="54"/>
      <c r="AA72" s="108">
        <v>-74981</v>
      </c>
      <c r="AB72" s="54"/>
      <c r="AC72" s="108">
        <f>VLOOKUP(A72,'Change in Proportion Calc'!$A$5:$H$311,8,FALSE)+SUMIF($C$5:$AB$5,2026,C72:AB72)</f>
        <v>-10537</v>
      </c>
      <c r="AE72" s="107">
        <f t="shared" si="2"/>
        <v>588640</v>
      </c>
      <c r="AF72" s="107">
        <f t="shared" si="3"/>
        <v>243869</v>
      </c>
      <c r="AH72" s="107"/>
      <c r="AI72" s="108"/>
      <c r="AJ72" s="108"/>
      <c r="AK72" s="213">
        <f t="shared" ref="AK72:AK135" si="5">+A72</f>
        <v>2950</v>
      </c>
      <c r="AL72" s="107">
        <f t="shared" ref="AL72:AP122" si="6">+SUMIF($C$5:$AB$5,AL$5,$C72:$AB72)</f>
        <v>63904</v>
      </c>
      <c r="AM72" s="107">
        <f t="shared" si="6"/>
        <v>38889</v>
      </c>
      <c r="AN72" s="107">
        <f t="shared" si="6"/>
        <v>59673</v>
      </c>
      <c r="AO72" s="107">
        <f t="shared" si="6"/>
        <v>123171</v>
      </c>
      <c r="AP72" s="107">
        <f t="shared" si="6"/>
        <v>59134</v>
      </c>
    </row>
    <row r="73" spans="1:42">
      <c r="A73" s="51">
        <v>2760</v>
      </c>
      <c r="B73" s="55" t="s">
        <v>65</v>
      </c>
      <c r="C73" s="234">
        <f>_xlfn.XLOOKUP($A73,'Change in Proportion Calc'!$A$5:$A$311,'Change in Proportion Calc'!L$5:L$311,"n",0,1)</f>
        <v>-8428</v>
      </c>
      <c r="D73" s="234">
        <f>_xlfn.XLOOKUP($A73,'Change in Proportion Calc'!$A$5:$A$311,'Change in Proportion Calc'!M$5:M$311,"n",0,1)</f>
        <v>-8428</v>
      </c>
      <c r="E73" s="234">
        <f>_xlfn.XLOOKUP($A73,'Change in Proportion Calc'!$A$5:$A$311,'Change in Proportion Calc'!N$5:N$311,"n",0,1)</f>
        <v>-8428</v>
      </c>
      <c r="F73" s="234">
        <f>_xlfn.XLOOKUP($A73,'Change in Proportion Calc'!$A$5:$A$311,'Change in Proportion Calc'!O$5:O$311,"n",0,1)</f>
        <v>-8428</v>
      </c>
      <c r="G73" s="234">
        <f>_xlfn.XLOOKUP($A73,'Change in Proportion Calc'!$A$5:$A$311,'Change in Proportion Calc'!P$5:P$311,"n",0,1)</f>
        <v>-6487</v>
      </c>
      <c r="H73" s="54"/>
      <c r="I73" s="69">
        <v>-23849</v>
      </c>
      <c r="J73" s="69">
        <v>-23849</v>
      </c>
      <c r="K73" s="69">
        <v>-23849</v>
      </c>
      <c r="L73" s="69">
        <v>-23849</v>
      </c>
      <c r="M73" s="69">
        <v>-22182</v>
      </c>
      <c r="N73" s="54"/>
      <c r="O73" s="69">
        <v>-15432</v>
      </c>
      <c r="P73" s="69">
        <v>-15432</v>
      </c>
      <c r="Q73" s="69">
        <v>-15432</v>
      </c>
      <c r="R73" s="69">
        <v>-13428</v>
      </c>
      <c r="S73" s="69"/>
      <c r="T73" s="69">
        <v>-47002</v>
      </c>
      <c r="U73" s="69">
        <v>-47002</v>
      </c>
      <c r="V73" s="69">
        <v>-41834</v>
      </c>
      <c r="W73" s="54"/>
      <c r="X73" s="69">
        <v>45840</v>
      </c>
      <c r="Y73" s="69">
        <v>44923</v>
      </c>
      <c r="Z73" s="54"/>
      <c r="AA73" s="108">
        <v>7658</v>
      </c>
      <c r="AB73" s="54"/>
      <c r="AC73" s="108">
        <f>VLOOKUP(A73,'Change in Proportion Calc'!$A$5:$H$311,8,FALSE)+SUMIF($C$5:$AB$5,2026,C73:AB73)</f>
        <v>-41213</v>
      </c>
      <c r="AE73" s="107">
        <f t="shared" ref="AE73:AE136" si="7">IF(SUM(C73:G73)&gt;0,SUM(C73:G73))+IF(SUM(J73:M73)&gt;0,SUM(J73:M73),0)+IF(SUM(U73:V73)&gt;0,SUM(U73:V73),0)+IF(SUM(Y73)&gt;0,SUM(Y73),0)+IF(SUM(P73:R73)&gt;0,SUM(P73:R73),0)</f>
        <v>44923</v>
      </c>
      <c r="AF73" s="107">
        <f t="shared" ref="AF73:AF136" si="8">+IF(SUM(C73:G73)&lt;0,-SUM(C73:G73),0)+IF(SUM(J73:M73)&lt;0,-SUM(J73:M73),0)+IF(SUM(U73:V73)&lt;0,-SUM(U73:V73),0)+IF(SUM(Y73)&lt;0,-SUM(Y73),0)+IF(SUM(P73:R73)&lt;0,-SUM(P73:R73),0)</f>
        <v>267056</v>
      </c>
      <c r="AH73" s="107"/>
      <c r="AI73" s="108"/>
      <c r="AJ73" s="108"/>
      <c r="AK73" s="213">
        <f t="shared" si="5"/>
        <v>2760</v>
      </c>
      <c r="AL73" s="107">
        <f t="shared" si="6"/>
        <v>-49788</v>
      </c>
      <c r="AM73" s="107">
        <f t="shared" si="6"/>
        <v>-89543</v>
      </c>
      <c r="AN73" s="107">
        <f t="shared" si="6"/>
        <v>-45705</v>
      </c>
      <c r="AO73" s="107">
        <f t="shared" si="6"/>
        <v>-30610</v>
      </c>
      <c r="AP73" s="107">
        <f t="shared" si="6"/>
        <v>-6487</v>
      </c>
    </row>
    <row r="74" spans="1:42">
      <c r="A74" s="53">
        <v>2780</v>
      </c>
      <c r="B74" s="54" t="s">
        <v>66</v>
      </c>
      <c r="C74" s="234">
        <f>_xlfn.XLOOKUP($A74,'Change in Proportion Calc'!$A$5:$A$311,'Change in Proportion Calc'!L$5:L$311,"n",0,1)</f>
        <v>7103</v>
      </c>
      <c r="D74" s="234">
        <f>_xlfn.XLOOKUP($A74,'Change in Proportion Calc'!$A$5:$A$311,'Change in Proportion Calc'!M$5:M$311,"n",0,1)</f>
        <v>7103</v>
      </c>
      <c r="E74" s="234">
        <f>_xlfn.XLOOKUP($A74,'Change in Proportion Calc'!$A$5:$A$311,'Change in Proportion Calc'!N$5:N$311,"n",0,1)</f>
        <v>7103</v>
      </c>
      <c r="F74" s="234">
        <f>_xlfn.XLOOKUP($A74,'Change in Proportion Calc'!$A$5:$A$311,'Change in Proportion Calc'!O$5:O$311,"n",0,1)</f>
        <v>7103</v>
      </c>
      <c r="G74" s="234">
        <f>_xlfn.XLOOKUP($A74,'Change in Proportion Calc'!$A$5:$A$311,'Change in Proportion Calc'!P$5:P$311,"n",0,1)</f>
        <v>5467</v>
      </c>
      <c r="H74" s="54"/>
      <c r="I74" s="69">
        <v>1222</v>
      </c>
      <c r="J74" s="69">
        <v>1222</v>
      </c>
      <c r="K74" s="69">
        <v>1222</v>
      </c>
      <c r="L74" s="69">
        <v>1222</v>
      </c>
      <c r="M74" s="69">
        <v>1135</v>
      </c>
      <c r="N74" s="54"/>
      <c r="O74" s="69">
        <v>-1683</v>
      </c>
      <c r="P74" s="69">
        <v>-1683</v>
      </c>
      <c r="Q74" s="69">
        <v>-1683</v>
      </c>
      <c r="R74" s="69">
        <v>-1462</v>
      </c>
      <c r="S74" s="69"/>
      <c r="T74" s="69">
        <v>-9934</v>
      </c>
      <c r="U74" s="69">
        <v>-9934</v>
      </c>
      <c r="V74" s="69">
        <v>-8839</v>
      </c>
      <c r="W74" s="54"/>
      <c r="X74" s="69">
        <v>2754</v>
      </c>
      <c r="Y74" s="69">
        <v>2697</v>
      </c>
      <c r="Z74" s="54"/>
      <c r="AA74" s="108">
        <v>-9255</v>
      </c>
      <c r="AB74" s="54"/>
      <c r="AC74" s="108">
        <f>VLOOKUP(A74,'Change in Proportion Calc'!$A$5:$H$311,8,FALSE)+SUMIF($C$5:$AB$5,2026,C74:AB74)</f>
        <v>-9793</v>
      </c>
      <c r="AE74" s="107">
        <f t="shared" si="7"/>
        <v>41377</v>
      </c>
      <c r="AF74" s="107">
        <f t="shared" si="8"/>
        <v>23601</v>
      </c>
      <c r="AH74" s="107"/>
      <c r="AI74" s="108"/>
      <c r="AJ74" s="108"/>
      <c r="AK74" s="213">
        <f t="shared" si="5"/>
        <v>2780</v>
      </c>
      <c r="AL74" s="107">
        <f t="shared" si="6"/>
        <v>-595</v>
      </c>
      <c r="AM74" s="107">
        <f t="shared" si="6"/>
        <v>-2197</v>
      </c>
      <c r="AN74" s="107">
        <f t="shared" si="6"/>
        <v>6863</v>
      </c>
      <c r="AO74" s="107">
        <f t="shared" si="6"/>
        <v>8238</v>
      </c>
      <c r="AP74" s="107">
        <f t="shared" si="6"/>
        <v>5467</v>
      </c>
    </row>
    <row r="75" spans="1:42">
      <c r="A75" s="51">
        <v>2810</v>
      </c>
      <c r="B75" s="55" t="s">
        <v>67</v>
      </c>
      <c r="C75" s="234">
        <f>_xlfn.XLOOKUP($A75,'Change in Proportion Calc'!$A$5:$A$311,'Change in Proportion Calc'!L$5:L$311,"n",0,1)</f>
        <v>-11027</v>
      </c>
      <c r="D75" s="234">
        <f>_xlfn.XLOOKUP($A75,'Change in Proportion Calc'!$A$5:$A$311,'Change in Proportion Calc'!M$5:M$311,"n",0,1)</f>
        <v>-11027</v>
      </c>
      <c r="E75" s="234">
        <f>_xlfn.XLOOKUP($A75,'Change in Proportion Calc'!$A$5:$A$311,'Change in Proportion Calc'!N$5:N$311,"n",0,1)</f>
        <v>-11027</v>
      </c>
      <c r="F75" s="234">
        <f>_xlfn.XLOOKUP($A75,'Change in Proportion Calc'!$A$5:$A$311,'Change in Proportion Calc'!O$5:O$311,"n",0,1)</f>
        <v>-11027</v>
      </c>
      <c r="G75" s="234">
        <f>_xlfn.XLOOKUP($A75,'Change in Proportion Calc'!$A$5:$A$311,'Change in Proportion Calc'!P$5:P$311,"n",0,1)</f>
        <v>-8492</v>
      </c>
      <c r="H75" s="54"/>
      <c r="I75" s="69">
        <v>-12825</v>
      </c>
      <c r="J75" s="69">
        <v>-12825</v>
      </c>
      <c r="K75" s="69">
        <v>-12825</v>
      </c>
      <c r="L75" s="69">
        <v>-12825</v>
      </c>
      <c r="M75" s="69">
        <v>-11928</v>
      </c>
      <c r="N75" s="54"/>
      <c r="O75" s="69">
        <v>5735</v>
      </c>
      <c r="P75" s="69">
        <v>5735</v>
      </c>
      <c r="Q75" s="69">
        <v>5735</v>
      </c>
      <c r="R75" s="69">
        <v>4990</v>
      </c>
      <c r="S75" s="69"/>
      <c r="T75" s="69">
        <v>-21311</v>
      </c>
      <c r="U75" s="69">
        <v>-21311</v>
      </c>
      <c r="V75" s="69">
        <v>-18966</v>
      </c>
      <c r="W75" s="54"/>
      <c r="X75" s="69">
        <v>-131851</v>
      </c>
      <c r="Y75" s="69">
        <v>-129213</v>
      </c>
      <c r="Z75" s="54"/>
      <c r="AA75" s="108">
        <v>-41485</v>
      </c>
      <c r="AB75" s="54"/>
      <c r="AC75" s="108">
        <f>VLOOKUP(A75,'Change in Proportion Calc'!$A$5:$H$311,8,FALSE)+SUMIF($C$5:$AB$5,2026,C75:AB75)</f>
        <v>-212764</v>
      </c>
      <c r="AE75" s="107">
        <f t="shared" si="7"/>
        <v>16460</v>
      </c>
      <c r="AF75" s="107">
        <f t="shared" si="8"/>
        <v>272493</v>
      </c>
      <c r="AH75" s="107"/>
      <c r="AI75" s="108"/>
      <c r="AJ75" s="108"/>
      <c r="AK75" s="213">
        <f t="shared" si="5"/>
        <v>2810</v>
      </c>
      <c r="AL75" s="107">
        <f t="shared" si="6"/>
        <v>-168641</v>
      </c>
      <c r="AM75" s="107">
        <f t="shared" si="6"/>
        <v>-37083</v>
      </c>
      <c r="AN75" s="107">
        <f t="shared" si="6"/>
        <v>-18862</v>
      </c>
      <c r="AO75" s="107">
        <f t="shared" si="6"/>
        <v>-22955</v>
      </c>
      <c r="AP75" s="107">
        <f t="shared" si="6"/>
        <v>-8492</v>
      </c>
    </row>
    <row r="76" spans="1:42">
      <c r="A76" s="53">
        <v>18056</v>
      </c>
      <c r="B76" s="54" t="s">
        <v>68</v>
      </c>
      <c r="C76" s="234">
        <f>_xlfn.XLOOKUP($A76,'Change in Proportion Calc'!$A$5:$A$311,'Change in Proportion Calc'!L$5:L$311,"n",0,1)</f>
        <v>-295</v>
      </c>
      <c r="D76" s="234">
        <f>_xlfn.XLOOKUP($A76,'Change in Proportion Calc'!$A$5:$A$311,'Change in Proportion Calc'!M$5:M$311,"n",0,1)</f>
        <v>-295</v>
      </c>
      <c r="E76" s="234">
        <f>_xlfn.XLOOKUP($A76,'Change in Proportion Calc'!$A$5:$A$311,'Change in Proportion Calc'!N$5:N$311,"n",0,1)</f>
        <v>-295</v>
      </c>
      <c r="F76" s="234">
        <f>_xlfn.XLOOKUP($A76,'Change in Proportion Calc'!$A$5:$A$311,'Change in Proportion Calc'!O$5:O$311,"n",0,1)</f>
        <v>-295</v>
      </c>
      <c r="G76" s="234">
        <f>_xlfn.XLOOKUP($A76,'Change in Proportion Calc'!$A$5:$A$311,'Change in Proportion Calc'!P$5:P$311,"n",0,1)</f>
        <v>-225</v>
      </c>
      <c r="H76" s="54"/>
      <c r="I76" s="69">
        <v>-18050</v>
      </c>
      <c r="J76" s="69">
        <v>-18050</v>
      </c>
      <c r="K76" s="69">
        <v>-18050</v>
      </c>
      <c r="L76" s="69">
        <v>-18050</v>
      </c>
      <c r="M76" s="69">
        <v>-16789</v>
      </c>
      <c r="N76" s="54"/>
      <c r="O76" s="69">
        <v>24379</v>
      </c>
      <c r="P76" s="69">
        <v>24379</v>
      </c>
      <c r="Q76" s="69">
        <v>24379</v>
      </c>
      <c r="R76" s="69">
        <v>21210</v>
      </c>
      <c r="S76" s="69"/>
      <c r="T76" s="69">
        <v>-5028</v>
      </c>
      <c r="U76" s="69">
        <v>-5028</v>
      </c>
      <c r="V76" s="69">
        <v>-4477</v>
      </c>
      <c r="W76" s="54"/>
      <c r="X76" s="69">
        <v>-63739</v>
      </c>
      <c r="Y76" s="69">
        <v>-62462</v>
      </c>
      <c r="Z76" s="54"/>
      <c r="AA76" s="108">
        <v>55455</v>
      </c>
      <c r="AB76" s="54"/>
      <c r="AC76" s="108">
        <f>VLOOKUP(A76,'Change in Proportion Calc'!$A$5:$H$311,8,FALSE)+SUMIF($C$5:$AB$5,2026,C76:AB76)</f>
        <v>-7278</v>
      </c>
      <c r="AE76" s="107">
        <f t="shared" si="7"/>
        <v>69968</v>
      </c>
      <c r="AF76" s="107">
        <f t="shared" si="8"/>
        <v>144311</v>
      </c>
      <c r="AH76" s="107"/>
      <c r="AI76" s="108"/>
      <c r="AJ76" s="108"/>
      <c r="AK76" s="213">
        <f t="shared" si="5"/>
        <v>18056</v>
      </c>
      <c r="AL76" s="107">
        <f t="shared" si="6"/>
        <v>-61456</v>
      </c>
      <c r="AM76" s="107">
        <f t="shared" si="6"/>
        <v>1557</v>
      </c>
      <c r="AN76" s="107">
        <f t="shared" si="6"/>
        <v>2865</v>
      </c>
      <c r="AO76" s="107">
        <f t="shared" si="6"/>
        <v>-17084</v>
      </c>
      <c r="AP76" s="107">
        <f t="shared" si="6"/>
        <v>-225</v>
      </c>
    </row>
    <row r="77" spans="1:42">
      <c r="A77" s="51">
        <v>15047</v>
      </c>
      <c r="B77" s="55" t="s">
        <v>69</v>
      </c>
      <c r="C77" s="234">
        <f>_xlfn.XLOOKUP($A77,'Change in Proportion Calc'!$A$5:$A$311,'Change in Proportion Calc'!L$5:L$311,"n",0,1)</f>
        <v>4964</v>
      </c>
      <c r="D77" s="234">
        <f>_xlfn.XLOOKUP($A77,'Change in Proportion Calc'!$A$5:$A$311,'Change in Proportion Calc'!M$5:M$311,"n",0,1)</f>
        <v>4964</v>
      </c>
      <c r="E77" s="234">
        <f>_xlfn.XLOOKUP($A77,'Change in Proportion Calc'!$A$5:$A$311,'Change in Proportion Calc'!N$5:N$311,"n",0,1)</f>
        <v>4964</v>
      </c>
      <c r="F77" s="234">
        <f>_xlfn.XLOOKUP($A77,'Change in Proportion Calc'!$A$5:$A$311,'Change in Proportion Calc'!O$5:O$311,"n",0,1)</f>
        <v>4964</v>
      </c>
      <c r="G77" s="234">
        <f>_xlfn.XLOOKUP($A77,'Change in Proportion Calc'!$A$5:$A$311,'Change in Proportion Calc'!P$5:P$311,"n",0,1)</f>
        <v>3820</v>
      </c>
      <c r="H77" s="54"/>
      <c r="I77" s="69">
        <v>-45998</v>
      </c>
      <c r="J77" s="69">
        <v>-45998</v>
      </c>
      <c r="K77" s="69">
        <v>-45998</v>
      </c>
      <c r="L77" s="69">
        <v>-45998</v>
      </c>
      <c r="M77" s="69">
        <v>-42780</v>
      </c>
      <c r="N77" s="54"/>
      <c r="O77" s="69">
        <v>6907</v>
      </c>
      <c r="P77" s="69">
        <v>6907</v>
      </c>
      <c r="Q77" s="69">
        <v>6907</v>
      </c>
      <c r="R77" s="69">
        <v>6008</v>
      </c>
      <c r="S77" s="69"/>
      <c r="T77" s="69">
        <v>50635</v>
      </c>
      <c r="U77" s="69">
        <v>50635</v>
      </c>
      <c r="V77" s="69">
        <v>45063</v>
      </c>
      <c r="W77" s="54"/>
      <c r="X77" s="69">
        <v>41871</v>
      </c>
      <c r="Y77" s="69">
        <v>41036</v>
      </c>
      <c r="Z77" s="54"/>
      <c r="AA77" s="108">
        <v>58235</v>
      </c>
      <c r="AB77" s="54"/>
      <c r="AC77" s="108">
        <f>VLOOKUP(A77,'Change in Proportion Calc'!$A$5:$H$311,8,FALSE)+SUMIF($C$5:$AB$5,2026,C77:AB77)</f>
        <v>116614</v>
      </c>
      <c r="AE77" s="107">
        <f t="shared" si="7"/>
        <v>180232</v>
      </c>
      <c r="AF77" s="107">
        <f t="shared" si="8"/>
        <v>180774</v>
      </c>
      <c r="AH77" s="107"/>
      <c r="AI77" s="108"/>
      <c r="AJ77" s="108"/>
      <c r="AK77" s="213">
        <f t="shared" si="5"/>
        <v>15047</v>
      </c>
      <c r="AL77" s="107">
        <f t="shared" si="6"/>
        <v>57544</v>
      </c>
      <c r="AM77" s="107">
        <f t="shared" si="6"/>
        <v>10936</v>
      </c>
      <c r="AN77" s="107">
        <f t="shared" si="6"/>
        <v>-35026</v>
      </c>
      <c r="AO77" s="107">
        <f t="shared" si="6"/>
        <v>-37816</v>
      </c>
      <c r="AP77" s="107">
        <f t="shared" si="6"/>
        <v>3820</v>
      </c>
    </row>
    <row r="78" spans="1:42">
      <c r="A78" s="53">
        <v>5012</v>
      </c>
      <c r="B78" s="54" t="s">
        <v>70</v>
      </c>
      <c r="C78" s="234">
        <f>_xlfn.XLOOKUP($A78,'Change in Proportion Calc'!$A$5:$A$311,'Change in Proportion Calc'!L$5:L$311,"n",0,1)</f>
        <v>-289204</v>
      </c>
      <c r="D78" s="234">
        <f>_xlfn.XLOOKUP($A78,'Change in Proportion Calc'!$A$5:$A$311,'Change in Proportion Calc'!M$5:M$311,"n",0,1)</f>
        <v>-289204</v>
      </c>
      <c r="E78" s="234">
        <f>_xlfn.XLOOKUP($A78,'Change in Proportion Calc'!$A$5:$A$311,'Change in Proportion Calc'!N$5:N$311,"n",0,1)</f>
        <v>-289204</v>
      </c>
      <c r="F78" s="234">
        <f>_xlfn.XLOOKUP($A78,'Change in Proportion Calc'!$A$5:$A$311,'Change in Proportion Calc'!O$5:O$311,"n",0,1)</f>
        <v>-289204</v>
      </c>
      <c r="G78" s="234">
        <f>_xlfn.XLOOKUP($A78,'Change in Proportion Calc'!$A$5:$A$311,'Change in Proportion Calc'!P$5:P$311,"n",0,1)</f>
        <v>-222689</v>
      </c>
      <c r="H78" s="54"/>
      <c r="I78" s="69">
        <v>238266</v>
      </c>
      <c r="J78" s="69">
        <v>238266</v>
      </c>
      <c r="K78" s="69">
        <v>238266</v>
      </c>
      <c r="L78" s="69">
        <v>238266</v>
      </c>
      <c r="M78" s="69">
        <v>221590</v>
      </c>
      <c r="N78" s="54"/>
      <c r="O78" s="69">
        <v>109406</v>
      </c>
      <c r="P78" s="69">
        <v>109406</v>
      </c>
      <c r="Q78" s="69">
        <v>109406</v>
      </c>
      <c r="R78" s="69">
        <v>95184</v>
      </c>
      <c r="S78" s="69"/>
      <c r="T78" s="69">
        <v>-193638</v>
      </c>
      <c r="U78" s="69">
        <v>-193638</v>
      </c>
      <c r="V78" s="69">
        <v>-172340</v>
      </c>
      <c r="W78" s="54"/>
      <c r="X78" s="69">
        <v>313267</v>
      </c>
      <c r="Y78" s="69">
        <v>307003</v>
      </c>
      <c r="Z78" s="54"/>
      <c r="AA78" s="108">
        <v>192541</v>
      </c>
      <c r="AB78" s="54"/>
      <c r="AC78" s="108">
        <f>VLOOKUP(A78,'Change in Proportion Calc'!$A$5:$H$311,8,FALSE)+SUMIF($C$5:$AB$5,2026,C78:AB78)</f>
        <v>370638</v>
      </c>
      <c r="AE78" s="107">
        <f t="shared" si="7"/>
        <v>1557387</v>
      </c>
      <c r="AF78" s="107">
        <f t="shared" si="8"/>
        <v>1745483</v>
      </c>
      <c r="AH78" s="107"/>
      <c r="AI78" s="108"/>
      <c r="AJ78" s="108"/>
      <c r="AK78" s="213">
        <f t="shared" si="5"/>
        <v>5012</v>
      </c>
      <c r="AL78" s="107">
        <f t="shared" si="6"/>
        <v>171833</v>
      </c>
      <c r="AM78" s="107">
        <f t="shared" si="6"/>
        <v>-113872</v>
      </c>
      <c r="AN78" s="107">
        <f t="shared" si="6"/>
        <v>44246</v>
      </c>
      <c r="AO78" s="107">
        <f t="shared" si="6"/>
        <v>-67614</v>
      </c>
      <c r="AP78" s="107">
        <f t="shared" si="6"/>
        <v>-222689</v>
      </c>
    </row>
    <row r="79" spans="1:42">
      <c r="A79" s="51">
        <v>8024</v>
      </c>
      <c r="B79" s="55" t="s">
        <v>71</v>
      </c>
      <c r="C79" s="234">
        <f>_xlfn.XLOOKUP($A79,'Change in Proportion Calc'!$A$5:$A$311,'Change in Proportion Calc'!L$5:L$311,"n",0,1)</f>
        <v>-179580</v>
      </c>
      <c r="D79" s="234">
        <f>_xlfn.XLOOKUP($A79,'Change in Proportion Calc'!$A$5:$A$311,'Change in Proportion Calc'!M$5:M$311,"n",0,1)</f>
        <v>-179580</v>
      </c>
      <c r="E79" s="234">
        <f>_xlfn.XLOOKUP($A79,'Change in Proportion Calc'!$A$5:$A$311,'Change in Proportion Calc'!N$5:N$311,"n",0,1)</f>
        <v>-179580</v>
      </c>
      <c r="F79" s="234">
        <f>_xlfn.XLOOKUP($A79,'Change in Proportion Calc'!$A$5:$A$311,'Change in Proportion Calc'!O$5:O$311,"n",0,1)</f>
        <v>-179580</v>
      </c>
      <c r="G79" s="234">
        <f>_xlfn.XLOOKUP($A79,'Change in Proportion Calc'!$A$5:$A$311,'Change in Proportion Calc'!P$5:P$311,"n",0,1)</f>
        <v>-138274</v>
      </c>
      <c r="H79" s="54"/>
      <c r="I79" s="69">
        <v>-58756</v>
      </c>
      <c r="J79" s="69">
        <v>-58756</v>
      </c>
      <c r="K79" s="69">
        <v>-58756</v>
      </c>
      <c r="L79" s="69">
        <v>-58756</v>
      </c>
      <c r="M79" s="69">
        <v>-54645</v>
      </c>
      <c r="N79" s="54"/>
      <c r="O79" s="69">
        <v>55742</v>
      </c>
      <c r="P79" s="69">
        <v>55742</v>
      </c>
      <c r="Q79" s="69">
        <v>55742</v>
      </c>
      <c r="R79" s="69">
        <v>48496</v>
      </c>
      <c r="S79" s="69"/>
      <c r="T79" s="69">
        <v>-110372</v>
      </c>
      <c r="U79" s="69">
        <v>-110372</v>
      </c>
      <c r="V79" s="69">
        <v>-98231</v>
      </c>
      <c r="W79" s="54"/>
      <c r="X79" s="69">
        <v>-38308</v>
      </c>
      <c r="Y79" s="69">
        <v>-37542</v>
      </c>
      <c r="Z79" s="54"/>
      <c r="AA79" s="108">
        <v>-145752</v>
      </c>
      <c r="AB79" s="54"/>
      <c r="AC79" s="108">
        <f>VLOOKUP(A79,'Change in Proportion Calc'!$A$5:$H$311,8,FALSE)+SUMIF($C$5:$AB$5,2026,C79:AB79)</f>
        <v>-477026</v>
      </c>
      <c r="AE79" s="107">
        <f t="shared" si="7"/>
        <v>159980</v>
      </c>
      <c r="AF79" s="107">
        <f t="shared" si="8"/>
        <v>1333652</v>
      </c>
      <c r="AH79" s="107"/>
      <c r="AI79" s="108"/>
      <c r="AJ79" s="108"/>
      <c r="AK79" s="213">
        <f t="shared" si="5"/>
        <v>8024</v>
      </c>
      <c r="AL79" s="107">
        <f t="shared" si="6"/>
        <v>-330508</v>
      </c>
      <c r="AM79" s="107">
        <f t="shared" si="6"/>
        <v>-280825</v>
      </c>
      <c r="AN79" s="107">
        <f t="shared" si="6"/>
        <v>-189840</v>
      </c>
      <c r="AO79" s="107">
        <f t="shared" si="6"/>
        <v>-234225</v>
      </c>
      <c r="AP79" s="107">
        <f t="shared" si="6"/>
        <v>-138274</v>
      </c>
    </row>
    <row r="80" spans="1:42">
      <c r="A80" s="53">
        <v>3050</v>
      </c>
      <c r="B80" s="54" t="s">
        <v>72</v>
      </c>
      <c r="C80" s="234">
        <f>_xlfn.XLOOKUP($A80,'Change in Proportion Calc'!$A$5:$A$311,'Change in Proportion Calc'!L$5:L$311,"n",0,1)</f>
        <v>-38441</v>
      </c>
      <c r="D80" s="234">
        <f>_xlfn.XLOOKUP($A80,'Change in Proportion Calc'!$A$5:$A$311,'Change in Proportion Calc'!M$5:M$311,"n",0,1)</f>
        <v>-38441</v>
      </c>
      <c r="E80" s="234">
        <f>_xlfn.XLOOKUP($A80,'Change in Proportion Calc'!$A$5:$A$311,'Change in Proportion Calc'!N$5:N$311,"n",0,1)</f>
        <v>-38441</v>
      </c>
      <c r="F80" s="234">
        <f>_xlfn.XLOOKUP($A80,'Change in Proportion Calc'!$A$5:$A$311,'Change in Proportion Calc'!O$5:O$311,"n",0,1)</f>
        <v>-38441</v>
      </c>
      <c r="G80" s="234">
        <f>_xlfn.XLOOKUP($A80,'Change in Proportion Calc'!$A$5:$A$311,'Change in Proportion Calc'!P$5:P$311,"n",0,1)</f>
        <v>-29598</v>
      </c>
      <c r="H80" s="54"/>
      <c r="I80" s="69">
        <v>-3639</v>
      </c>
      <c r="J80" s="69">
        <v>-3639</v>
      </c>
      <c r="K80" s="69">
        <v>-3639</v>
      </c>
      <c r="L80" s="69">
        <v>-3639</v>
      </c>
      <c r="M80" s="69">
        <v>-3384</v>
      </c>
      <c r="N80" s="54"/>
      <c r="O80" s="69">
        <v>46615</v>
      </c>
      <c r="P80" s="69">
        <v>46615</v>
      </c>
      <c r="Q80" s="69">
        <v>46615</v>
      </c>
      <c r="R80" s="69">
        <v>40557</v>
      </c>
      <c r="S80" s="69"/>
      <c r="T80" s="69">
        <v>-24850</v>
      </c>
      <c r="U80" s="69">
        <v>-24850</v>
      </c>
      <c r="V80" s="69">
        <v>-22115</v>
      </c>
      <c r="W80" s="54"/>
      <c r="X80" s="69">
        <v>10691</v>
      </c>
      <c r="Y80" s="69">
        <v>10475</v>
      </c>
      <c r="Z80" s="54"/>
      <c r="AA80" s="108">
        <v>-26590</v>
      </c>
      <c r="AB80" s="54"/>
      <c r="AC80" s="108">
        <f>VLOOKUP(A80,'Change in Proportion Calc'!$A$5:$H$311,8,FALSE)+SUMIF($C$5:$AB$5,2026,C80:AB80)</f>
        <v>-36214</v>
      </c>
      <c r="AE80" s="107">
        <f t="shared" si="7"/>
        <v>144262</v>
      </c>
      <c r="AF80" s="107">
        <f t="shared" si="8"/>
        <v>244628</v>
      </c>
      <c r="AH80" s="107"/>
      <c r="AI80" s="108"/>
      <c r="AJ80" s="108"/>
      <c r="AK80" s="213">
        <f t="shared" si="5"/>
        <v>3050</v>
      </c>
      <c r="AL80" s="107">
        <f t="shared" si="6"/>
        <v>-9840</v>
      </c>
      <c r="AM80" s="107">
        <f t="shared" si="6"/>
        <v>-17580</v>
      </c>
      <c r="AN80" s="107">
        <f t="shared" si="6"/>
        <v>-1523</v>
      </c>
      <c r="AO80" s="107">
        <f t="shared" si="6"/>
        <v>-41825</v>
      </c>
      <c r="AP80" s="107">
        <f t="shared" si="6"/>
        <v>-29598</v>
      </c>
    </row>
    <row r="81" spans="1:42">
      <c r="A81" s="51">
        <v>2421</v>
      </c>
      <c r="B81" s="55" t="s">
        <v>73</v>
      </c>
      <c r="C81" s="234">
        <f>_xlfn.XLOOKUP($A81,'Change in Proportion Calc'!$A$5:$A$311,'Change in Proportion Calc'!L$5:L$311,"n",0,1)</f>
        <v>7662</v>
      </c>
      <c r="D81" s="234">
        <f>_xlfn.XLOOKUP($A81,'Change in Proportion Calc'!$A$5:$A$311,'Change in Proportion Calc'!M$5:M$311,"n",0,1)</f>
        <v>7662</v>
      </c>
      <c r="E81" s="234">
        <f>_xlfn.XLOOKUP($A81,'Change in Proportion Calc'!$A$5:$A$311,'Change in Proportion Calc'!N$5:N$311,"n",0,1)</f>
        <v>7662</v>
      </c>
      <c r="F81" s="234">
        <f>_xlfn.XLOOKUP($A81,'Change in Proportion Calc'!$A$5:$A$311,'Change in Proportion Calc'!O$5:O$311,"n",0,1)</f>
        <v>7662</v>
      </c>
      <c r="G81" s="234">
        <f>_xlfn.XLOOKUP($A81,'Change in Proportion Calc'!$A$5:$A$311,'Change in Proportion Calc'!P$5:P$311,"n",0,1)</f>
        <v>5901</v>
      </c>
      <c r="H81" s="54"/>
      <c r="I81" s="69">
        <v>-21628</v>
      </c>
      <c r="J81" s="69">
        <v>-21628</v>
      </c>
      <c r="K81" s="69">
        <v>-21628</v>
      </c>
      <c r="L81" s="69">
        <v>-21628</v>
      </c>
      <c r="M81" s="69">
        <v>-20117</v>
      </c>
      <c r="N81" s="54"/>
      <c r="O81" s="69">
        <v>-12433</v>
      </c>
      <c r="P81" s="69">
        <v>-12433</v>
      </c>
      <c r="Q81" s="69">
        <v>-12433</v>
      </c>
      <c r="R81" s="69">
        <v>-10817</v>
      </c>
      <c r="S81" s="69"/>
      <c r="T81" s="69">
        <v>35106</v>
      </c>
      <c r="U81" s="69">
        <v>35106</v>
      </c>
      <c r="V81" s="69">
        <v>31243</v>
      </c>
      <c r="W81" s="54"/>
      <c r="X81" s="69">
        <v>5912</v>
      </c>
      <c r="Y81" s="69">
        <v>5795</v>
      </c>
      <c r="Z81" s="54"/>
      <c r="AA81" s="108">
        <v>-8415</v>
      </c>
      <c r="AB81" s="54"/>
      <c r="AC81" s="108">
        <f>VLOOKUP(A81,'Change in Proportion Calc'!$A$5:$H$311,8,FALSE)+SUMIF($C$5:$AB$5,2026,C81:AB81)</f>
        <v>6204</v>
      </c>
      <c r="AE81" s="107">
        <f t="shared" si="7"/>
        <v>108693</v>
      </c>
      <c r="AF81" s="107">
        <f t="shared" si="8"/>
        <v>120684</v>
      </c>
      <c r="AH81" s="107"/>
      <c r="AI81" s="108"/>
      <c r="AJ81" s="108"/>
      <c r="AK81" s="213">
        <f t="shared" si="5"/>
        <v>2421</v>
      </c>
      <c r="AL81" s="107">
        <f t="shared" si="6"/>
        <v>14502</v>
      </c>
      <c r="AM81" s="107">
        <f t="shared" si="6"/>
        <v>4844</v>
      </c>
      <c r="AN81" s="107">
        <f t="shared" si="6"/>
        <v>-24783</v>
      </c>
      <c r="AO81" s="107">
        <f t="shared" si="6"/>
        <v>-12455</v>
      </c>
      <c r="AP81" s="107">
        <f t="shared" si="6"/>
        <v>5901</v>
      </c>
    </row>
    <row r="82" spans="1:42">
      <c r="A82" s="53">
        <v>26079</v>
      </c>
      <c r="B82" s="54" t="s">
        <v>74</v>
      </c>
      <c r="C82" s="234">
        <f>_xlfn.XLOOKUP($A82,'Change in Proportion Calc'!$A$5:$A$311,'Change in Proportion Calc'!L$5:L$311,"n",0,1)</f>
        <v>656</v>
      </c>
      <c r="D82" s="234">
        <f>_xlfn.XLOOKUP($A82,'Change in Proportion Calc'!$A$5:$A$311,'Change in Proportion Calc'!M$5:M$311,"n",0,1)</f>
        <v>656</v>
      </c>
      <c r="E82" s="234">
        <f>_xlfn.XLOOKUP($A82,'Change in Proportion Calc'!$A$5:$A$311,'Change in Proportion Calc'!N$5:N$311,"n",0,1)</f>
        <v>656</v>
      </c>
      <c r="F82" s="234">
        <f>_xlfn.XLOOKUP($A82,'Change in Proportion Calc'!$A$5:$A$311,'Change in Proportion Calc'!O$5:O$311,"n",0,1)</f>
        <v>656</v>
      </c>
      <c r="G82" s="234">
        <f>_xlfn.XLOOKUP($A82,'Change in Proportion Calc'!$A$5:$A$311,'Change in Proportion Calc'!P$5:P$311,"n",0,1)</f>
        <v>508</v>
      </c>
      <c r="H82" s="54"/>
      <c r="I82" s="69">
        <v>16287</v>
      </c>
      <c r="J82" s="69">
        <v>16287</v>
      </c>
      <c r="K82" s="69">
        <v>16287</v>
      </c>
      <c r="L82" s="69">
        <v>16287</v>
      </c>
      <c r="M82" s="69">
        <v>15145</v>
      </c>
      <c r="N82" s="54"/>
      <c r="O82" s="69">
        <v>3646</v>
      </c>
      <c r="P82" s="69">
        <v>3646</v>
      </c>
      <c r="Q82" s="69">
        <v>3646</v>
      </c>
      <c r="R82" s="69">
        <v>3174</v>
      </c>
      <c r="S82" s="69"/>
      <c r="T82" s="69">
        <v>-3412</v>
      </c>
      <c r="U82" s="69">
        <v>-3412</v>
      </c>
      <c r="V82" s="69">
        <v>-3035</v>
      </c>
      <c r="W82" s="54"/>
      <c r="X82" s="69">
        <v>3483</v>
      </c>
      <c r="Y82" s="69">
        <v>3411</v>
      </c>
      <c r="Z82" s="54"/>
      <c r="AA82" s="108">
        <v>-2608</v>
      </c>
      <c r="AB82" s="54"/>
      <c r="AC82" s="108">
        <f>VLOOKUP(A82,'Change in Proportion Calc'!$A$5:$H$311,8,FALSE)+SUMIF($C$5:$AB$5,2026,C82:AB82)</f>
        <v>18052</v>
      </c>
      <c r="AE82" s="107">
        <f t="shared" si="7"/>
        <v>81015</v>
      </c>
      <c r="AF82" s="107">
        <f t="shared" si="8"/>
        <v>6447</v>
      </c>
      <c r="AH82" s="107"/>
      <c r="AI82" s="108"/>
      <c r="AJ82" s="108"/>
      <c r="AK82" s="213">
        <f t="shared" si="5"/>
        <v>26079</v>
      </c>
      <c r="AL82" s="107">
        <f t="shared" si="6"/>
        <v>20588</v>
      </c>
      <c r="AM82" s="107">
        <f t="shared" si="6"/>
        <v>17554</v>
      </c>
      <c r="AN82" s="107">
        <f t="shared" si="6"/>
        <v>20117</v>
      </c>
      <c r="AO82" s="107">
        <f t="shared" si="6"/>
        <v>15801</v>
      </c>
      <c r="AP82" s="107">
        <f t="shared" si="6"/>
        <v>508</v>
      </c>
    </row>
    <row r="83" spans="1:42">
      <c r="A83" s="51">
        <v>2363</v>
      </c>
      <c r="B83" s="55" t="s">
        <v>75</v>
      </c>
      <c r="C83" s="234">
        <f>_xlfn.XLOOKUP($A83,'Change in Proportion Calc'!$A$5:$A$311,'Change in Proportion Calc'!L$5:L$311,"n",0,1)</f>
        <v>-5707</v>
      </c>
      <c r="D83" s="234">
        <f>_xlfn.XLOOKUP($A83,'Change in Proportion Calc'!$A$5:$A$311,'Change in Proportion Calc'!M$5:M$311,"n",0,1)</f>
        <v>-5707</v>
      </c>
      <c r="E83" s="234">
        <f>_xlfn.XLOOKUP($A83,'Change in Proportion Calc'!$A$5:$A$311,'Change in Proportion Calc'!N$5:N$311,"n",0,1)</f>
        <v>-5707</v>
      </c>
      <c r="F83" s="234">
        <f>_xlfn.XLOOKUP($A83,'Change in Proportion Calc'!$A$5:$A$311,'Change in Proportion Calc'!O$5:O$311,"n",0,1)</f>
        <v>-5707</v>
      </c>
      <c r="G83" s="234">
        <f>_xlfn.XLOOKUP($A83,'Change in Proportion Calc'!$A$5:$A$311,'Change in Proportion Calc'!P$5:P$311,"n",0,1)</f>
        <v>-4393</v>
      </c>
      <c r="H83" s="54"/>
      <c r="I83" s="69">
        <v>-2423</v>
      </c>
      <c r="J83" s="69">
        <v>-2423</v>
      </c>
      <c r="K83" s="69">
        <v>-2423</v>
      </c>
      <c r="L83" s="69">
        <v>-2423</v>
      </c>
      <c r="M83" s="69">
        <v>-2255</v>
      </c>
      <c r="N83" s="54"/>
      <c r="O83" s="69">
        <v>5027</v>
      </c>
      <c r="P83" s="69">
        <v>5027</v>
      </c>
      <c r="Q83" s="69">
        <v>5027</v>
      </c>
      <c r="R83" s="69">
        <v>4372</v>
      </c>
      <c r="S83" s="69"/>
      <c r="T83" s="69">
        <v>-4465</v>
      </c>
      <c r="U83" s="69">
        <v>-4465</v>
      </c>
      <c r="V83" s="69">
        <v>-3976</v>
      </c>
      <c r="W83" s="54"/>
      <c r="X83" s="69">
        <v>7370</v>
      </c>
      <c r="Y83" s="69">
        <v>7223</v>
      </c>
      <c r="Z83" s="54"/>
      <c r="AA83" s="108">
        <v>-1768</v>
      </c>
      <c r="AB83" s="54"/>
      <c r="AC83" s="108">
        <f>VLOOKUP(A83,'Change in Proportion Calc'!$A$5:$H$311,8,FALSE)+SUMIF($C$5:$AB$5,2026,C83:AB83)</f>
        <v>-1966</v>
      </c>
      <c r="AE83" s="107">
        <f t="shared" si="7"/>
        <v>21649</v>
      </c>
      <c r="AF83" s="107">
        <f t="shared" si="8"/>
        <v>45186</v>
      </c>
      <c r="AH83" s="107"/>
      <c r="AI83" s="108"/>
      <c r="AJ83" s="108"/>
      <c r="AK83" s="213">
        <f t="shared" si="5"/>
        <v>2363</v>
      </c>
      <c r="AL83" s="107">
        <f t="shared" si="6"/>
        <v>-345</v>
      </c>
      <c r="AM83" s="107">
        <f t="shared" si="6"/>
        <v>-7079</v>
      </c>
      <c r="AN83" s="107">
        <f t="shared" si="6"/>
        <v>-3758</v>
      </c>
      <c r="AO83" s="107">
        <f t="shared" si="6"/>
        <v>-7962</v>
      </c>
      <c r="AP83" s="107">
        <f t="shared" si="6"/>
        <v>-4393</v>
      </c>
    </row>
    <row r="84" spans="1:42">
      <c r="A84" s="53">
        <v>2364</v>
      </c>
      <c r="B84" s="54" t="s">
        <v>76</v>
      </c>
      <c r="C84" s="234">
        <f>_xlfn.XLOOKUP($A84,'Change in Proportion Calc'!$A$5:$A$311,'Change in Proportion Calc'!L$5:L$311,"n",0,1)</f>
        <v>10351</v>
      </c>
      <c r="D84" s="234">
        <f>_xlfn.XLOOKUP($A84,'Change in Proportion Calc'!$A$5:$A$311,'Change in Proportion Calc'!M$5:M$311,"n",0,1)</f>
        <v>10351</v>
      </c>
      <c r="E84" s="234">
        <f>_xlfn.XLOOKUP($A84,'Change in Proportion Calc'!$A$5:$A$311,'Change in Proportion Calc'!N$5:N$311,"n",0,1)</f>
        <v>10351</v>
      </c>
      <c r="F84" s="234">
        <f>_xlfn.XLOOKUP($A84,'Change in Proportion Calc'!$A$5:$A$311,'Change in Proportion Calc'!O$5:O$311,"n",0,1)</f>
        <v>10351</v>
      </c>
      <c r="G84" s="234">
        <f>_xlfn.XLOOKUP($A84,'Change in Proportion Calc'!$A$5:$A$311,'Change in Proportion Calc'!P$5:P$311,"n",0,1)</f>
        <v>7969</v>
      </c>
      <c r="H84" s="54"/>
      <c r="I84" s="69">
        <v>12853</v>
      </c>
      <c r="J84" s="69">
        <v>12853</v>
      </c>
      <c r="K84" s="69">
        <v>12853</v>
      </c>
      <c r="L84" s="69">
        <v>12853</v>
      </c>
      <c r="M84" s="69">
        <v>11953</v>
      </c>
      <c r="N84" s="54"/>
      <c r="O84" s="69">
        <v>19281</v>
      </c>
      <c r="P84" s="69">
        <v>19281</v>
      </c>
      <c r="Q84" s="69">
        <v>19281</v>
      </c>
      <c r="R84" s="69">
        <v>16774</v>
      </c>
      <c r="S84" s="69"/>
      <c r="T84" s="69">
        <v>101893</v>
      </c>
      <c r="U84" s="69">
        <v>101893</v>
      </c>
      <c r="V84" s="69">
        <v>90686</v>
      </c>
      <c r="W84" s="54"/>
      <c r="X84" s="69">
        <v>64710</v>
      </c>
      <c r="Y84" s="69">
        <v>63418</v>
      </c>
      <c r="Z84" s="54"/>
      <c r="AA84" s="108">
        <v>12202</v>
      </c>
      <c r="AB84" s="54"/>
      <c r="AC84" s="108">
        <f>VLOOKUP(A84,'Change in Proportion Calc'!$A$5:$H$311,8,FALSE)+SUMIF($C$5:$AB$5,2026,C84:AB84)</f>
        <v>221290</v>
      </c>
      <c r="AE84" s="107">
        <f t="shared" si="7"/>
        <v>411218</v>
      </c>
      <c r="AF84" s="107">
        <f t="shared" si="8"/>
        <v>0</v>
      </c>
      <c r="AH84" s="107"/>
      <c r="AI84" s="108"/>
      <c r="AJ84" s="108"/>
      <c r="AK84" s="213">
        <f t="shared" si="5"/>
        <v>2364</v>
      </c>
      <c r="AL84" s="107">
        <f t="shared" si="6"/>
        <v>207796</v>
      </c>
      <c r="AM84" s="107">
        <f t="shared" si="6"/>
        <v>133171</v>
      </c>
      <c r="AN84" s="107">
        <f t="shared" si="6"/>
        <v>39978</v>
      </c>
      <c r="AO84" s="107">
        <f t="shared" si="6"/>
        <v>22304</v>
      </c>
      <c r="AP84" s="107">
        <f t="shared" si="6"/>
        <v>7969</v>
      </c>
    </row>
    <row r="85" spans="1:42">
      <c r="A85" s="51">
        <v>25319</v>
      </c>
      <c r="B85" s="55" t="s">
        <v>77</v>
      </c>
      <c r="C85" s="234">
        <f>_xlfn.XLOOKUP($A85,'Change in Proportion Calc'!$A$5:$A$311,'Change in Proportion Calc'!L$5:L$311,"n",0,1)</f>
        <v>16293</v>
      </c>
      <c r="D85" s="234">
        <f>_xlfn.XLOOKUP($A85,'Change in Proportion Calc'!$A$5:$A$311,'Change in Proportion Calc'!M$5:M$311,"n",0,1)</f>
        <v>16293</v>
      </c>
      <c r="E85" s="234">
        <f>_xlfn.XLOOKUP($A85,'Change in Proportion Calc'!$A$5:$A$311,'Change in Proportion Calc'!N$5:N$311,"n",0,1)</f>
        <v>16293</v>
      </c>
      <c r="F85" s="234">
        <f>_xlfn.XLOOKUP($A85,'Change in Proportion Calc'!$A$5:$A$311,'Change in Proportion Calc'!O$5:O$311,"n",0,1)</f>
        <v>16293</v>
      </c>
      <c r="G85" s="234">
        <f>_xlfn.XLOOKUP($A85,'Change in Proportion Calc'!$A$5:$A$311,'Change in Proportion Calc'!P$5:P$311,"n",0,1)</f>
        <v>12546</v>
      </c>
      <c r="H85" s="54"/>
      <c r="I85" s="69">
        <v>-2947</v>
      </c>
      <c r="J85" s="69">
        <v>-2947</v>
      </c>
      <c r="K85" s="69">
        <v>-2947</v>
      </c>
      <c r="L85" s="69">
        <v>-2947</v>
      </c>
      <c r="M85" s="69">
        <v>-2741</v>
      </c>
      <c r="N85" s="54"/>
      <c r="O85" s="69">
        <v>-23367</v>
      </c>
      <c r="P85" s="69">
        <v>-23367</v>
      </c>
      <c r="Q85" s="69">
        <v>-23367</v>
      </c>
      <c r="R85" s="69">
        <v>-20327</v>
      </c>
      <c r="S85" s="69"/>
      <c r="T85" s="69">
        <v>142</v>
      </c>
      <c r="U85" s="69">
        <v>142</v>
      </c>
      <c r="V85" s="69">
        <v>126</v>
      </c>
      <c r="W85" s="54"/>
      <c r="X85" s="69">
        <v>18304</v>
      </c>
      <c r="Y85" s="69">
        <v>17936</v>
      </c>
      <c r="Z85" s="54"/>
      <c r="AA85" s="108">
        <v>5217</v>
      </c>
      <c r="AB85" s="54"/>
      <c r="AC85" s="108">
        <f>VLOOKUP(A85,'Change in Proportion Calc'!$A$5:$H$311,8,FALSE)+SUMIF($C$5:$AB$5,2026,C85:AB85)</f>
        <v>13642</v>
      </c>
      <c r="AE85" s="107">
        <f t="shared" si="7"/>
        <v>95922</v>
      </c>
      <c r="AF85" s="107">
        <f t="shared" si="8"/>
        <v>78643</v>
      </c>
      <c r="AH85" s="107"/>
      <c r="AI85" s="108"/>
      <c r="AJ85" s="108"/>
      <c r="AK85" s="213">
        <f t="shared" si="5"/>
        <v>25319</v>
      </c>
      <c r="AL85" s="107">
        <f t="shared" si="6"/>
        <v>8057</v>
      </c>
      <c r="AM85" s="107">
        <f t="shared" si="6"/>
        <v>-9895</v>
      </c>
      <c r="AN85" s="107">
        <f t="shared" si="6"/>
        <v>-6981</v>
      </c>
      <c r="AO85" s="107">
        <f t="shared" si="6"/>
        <v>13552</v>
      </c>
      <c r="AP85" s="107">
        <f t="shared" si="6"/>
        <v>12546</v>
      </c>
    </row>
    <row r="86" spans="1:42">
      <c r="A86" s="53">
        <v>29087</v>
      </c>
      <c r="B86" s="54" t="s">
        <v>78</v>
      </c>
      <c r="C86" s="234">
        <f>_xlfn.XLOOKUP($A86,'Change in Proportion Calc'!$A$5:$A$311,'Change in Proportion Calc'!L$5:L$311,"n",0,1)</f>
        <v>1123</v>
      </c>
      <c r="D86" s="234">
        <f>_xlfn.XLOOKUP($A86,'Change in Proportion Calc'!$A$5:$A$311,'Change in Proportion Calc'!M$5:M$311,"n",0,1)</f>
        <v>1123</v>
      </c>
      <c r="E86" s="234">
        <f>_xlfn.XLOOKUP($A86,'Change in Proportion Calc'!$A$5:$A$311,'Change in Proportion Calc'!N$5:N$311,"n",0,1)</f>
        <v>1123</v>
      </c>
      <c r="F86" s="234">
        <f>_xlfn.XLOOKUP($A86,'Change in Proportion Calc'!$A$5:$A$311,'Change in Proportion Calc'!O$5:O$311,"n",0,1)</f>
        <v>1123</v>
      </c>
      <c r="G86" s="234">
        <f>_xlfn.XLOOKUP($A86,'Change in Proportion Calc'!$A$5:$A$311,'Change in Proportion Calc'!P$5:P$311,"n",0,1)</f>
        <v>867</v>
      </c>
      <c r="H86" s="54"/>
      <c r="I86" s="69">
        <v>73608</v>
      </c>
      <c r="J86" s="69">
        <v>73608</v>
      </c>
      <c r="K86" s="69">
        <v>73608</v>
      </c>
      <c r="L86" s="69">
        <v>73608</v>
      </c>
      <c r="M86" s="69">
        <v>68456</v>
      </c>
      <c r="N86" s="54"/>
      <c r="O86" s="69">
        <v>196053</v>
      </c>
      <c r="P86" s="69">
        <v>196053</v>
      </c>
      <c r="Q86" s="69">
        <v>196053</v>
      </c>
      <c r="R86" s="69">
        <v>170564</v>
      </c>
      <c r="S86" s="69"/>
      <c r="T86" s="69">
        <v>98184</v>
      </c>
      <c r="U86" s="69">
        <v>98184</v>
      </c>
      <c r="V86" s="69">
        <v>87385</v>
      </c>
      <c r="W86" s="54"/>
      <c r="X86" s="69">
        <v>-39928</v>
      </c>
      <c r="Y86" s="69">
        <v>-39128</v>
      </c>
      <c r="Z86" s="54"/>
      <c r="AA86" s="108">
        <v>187993</v>
      </c>
      <c r="AB86" s="54"/>
      <c r="AC86" s="108">
        <f>VLOOKUP(A86,'Change in Proportion Calc'!$A$5:$H$311,8,FALSE)+SUMIF($C$5:$AB$5,2026,C86:AB86)</f>
        <v>517033</v>
      </c>
      <c r="AE86" s="107">
        <f t="shared" si="7"/>
        <v>1042878</v>
      </c>
      <c r="AF86" s="107">
        <f t="shared" si="8"/>
        <v>39128</v>
      </c>
      <c r="AH86" s="107"/>
      <c r="AI86" s="108"/>
      <c r="AJ86" s="108"/>
      <c r="AK86" s="213">
        <f t="shared" si="5"/>
        <v>29087</v>
      </c>
      <c r="AL86" s="107">
        <f t="shared" si="6"/>
        <v>329840</v>
      </c>
      <c r="AM86" s="107">
        <f t="shared" si="6"/>
        <v>358169</v>
      </c>
      <c r="AN86" s="107">
        <f t="shared" si="6"/>
        <v>245295</v>
      </c>
      <c r="AO86" s="107">
        <f t="shared" si="6"/>
        <v>69579</v>
      </c>
      <c r="AP86" s="107">
        <f t="shared" si="6"/>
        <v>867</v>
      </c>
    </row>
    <row r="87" spans="1:42">
      <c r="A87" s="51">
        <v>3060</v>
      </c>
      <c r="B87" s="55" t="s">
        <v>79</v>
      </c>
      <c r="C87" s="234">
        <f>_xlfn.XLOOKUP($A87,'Change in Proportion Calc'!$A$5:$A$311,'Change in Proportion Calc'!L$5:L$311,"n",0,1)</f>
        <v>-6018</v>
      </c>
      <c r="D87" s="234">
        <f>_xlfn.XLOOKUP($A87,'Change in Proportion Calc'!$A$5:$A$311,'Change in Proportion Calc'!M$5:M$311,"n",0,1)</f>
        <v>-6018</v>
      </c>
      <c r="E87" s="234">
        <f>_xlfn.XLOOKUP($A87,'Change in Proportion Calc'!$A$5:$A$311,'Change in Proportion Calc'!N$5:N$311,"n",0,1)</f>
        <v>-6018</v>
      </c>
      <c r="F87" s="234">
        <f>_xlfn.XLOOKUP($A87,'Change in Proportion Calc'!$A$5:$A$311,'Change in Proportion Calc'!O$5:O$311,"n",0,1)</f>
        <v>-6018</v>
      </c>
      <c r="G87" s="234">
        <f>_xlfn.XLOOKUP($A87,'Change in Proportion Calc'!$A$5:$A$311,'Change in Proportion Calc'!P$5:P$311,"n",0,1)</f>
        <v>-4636</v>
      </c>
      <c r="H87" s="54"/>
      <c r="I87" s="69">
        <v>-4953</v>
      </c>
      <c r="J87" s="69">
        <v>-4953</v>
      </c>
      <c r="K87" s="69">
        <v>-4953</v>
      </c>
      <c r="L87" s="69">
        <v>-4953</v>
      </c>
      <c r="M87" s="69">
        <v>-4607</v>
      </c>
      <c r="N87" s="54"/>
      <c r="O87" s="69">
        <v>-10268</v>
      </c>
      <c r="P87" s="69">
        <v>-10268</v>
      </c>
      <c r="Q87" s="69">
        <v>-10268</v>
      </c>
      <c r="R87" s="69">
        <v>-8933</v>
      </c>
      <c r="S87" s="69"/>
      <c r="T87" s="69">
        <v>-39125</v>
      </c>
      <c r="U87" s="69">
        <v>-39125</v>
      </c>
      <c r="V87" s="69">
        <v>-34821</v>
      </c>
      <c r="W87" s="54"/>
      <c r="X87" s="69">
        <v>-91599</v>
      </c>
      <c r="Y87" s="69">
        <v>-89767</v>
      </c>
      <c r="Z87" s="54"/>
      <c r="AA87" s="108">
        <v>7323</v>
      </c>
      <c r="AB87" s="54"/>
      <c r="AC87" s="108">
        <f>VLOOKUP(A87,'Change in Proportion Calc'!$A$5:$H$311,8,FALSE)+SUMIF($C$5:$AB$5,2026,C87:AB87)</f>
        <v>-144640</v>
      </c>
      <c r="AE87" s="107">
        <f t="shared" si="7"/>
        <v>0</v>
      </c>
      <c r="AF87" s="107">
        <f t="shared" si="8"/>
        <v>241356</v>
      </c>
      <c r="AH87" s="107"/>
      <c r="AI87" s="108"/>
      <c r="AJ87" s="108"/>
      <c r="AK87" s="213">
        <f t="shared" si="5"/>
        <v>3060</v>
      </c>
      <c r="AL87" s="107">
        <f t="shared" si="6"/>
        <v>-150131</v>
      </c>
      <c r="AM87" s="107">
        <f t="shared" si="6"/>
        <v>-56060</v>
      </c>
      <c r="AN87" s="107">
        <f t="shared" si="6"/>
        <v>-19904</v>
      </c>
      <c r="AO87" s="107">
        <f t="shared" si="6"/>
        <v>-10625</v>
      </c>
      <c r="AP87" s="107">
        <f t="shared" si="6"/>
        <v>-4636</v>
      </c>
    </row>
    <row r="88" spans="1:42">
      <c r="A88" s="53">
        <v>19301</v>
      </c>
      <c r="B88" s="54" t="s">
        <v>80</v>
      </c>
      <c r="C88" s="234">
        <f>_xlfn.XLOOKUP($A88,'Change in Proportion Calc'!$A$5:$A$311,'Change in Proportion Calc'!L$5:L$311,"n",0,1)</f>
        <v>-9758</v>
      </c>
      <c r="D88" s="234">
        <f>_xlfn.XLOOKUP($A88,'Change in Proportion Calc'!$A$5:$A$311,'Change in Proportion Calc'!M$5:M$311,"n",0,1)</f>
        <v>-9758</v>
      </c>
      <c r="E88" s="234">
        <f>_xlfn.XLOOKUP($A88,'Change in Proportion Calc'!$A$5:$A$311,'Change in Proportion Calc'!N$5:N$311,"n",0,1)</f>
        <v>-9758</v>
      </c>
      <c r="F88" s="234">
        <f>_xlfn.XLOOKUP($A88,'Change in Proportion Calc'!$A$5:$A$311,'Change in Proportion Calc'!O$5:O$311,"n",0,1)</f>
        <v>-9758</v>
      </c>
      <c r="G88" s="234">
        <f>_xlfn.XLOOKUP($A88,'Change in Proportion Calc'!$A$5:$A$311,'Change in Proportion Calc'!P$5:P$311,"n",0,1)</f>
        <v>-7513</v>
      </c>
      <c r="H88" s="54"/>
      <c r="I88" s="69">
        <v>3792</v>
      </c>
      <c r="J88" s="69">
        <v>3792</v>
      </c>
      <c r="K88" s="69">
        <v>3792</v>
      </c>
      <c r="L88" s="69">
        <v>3792</v>
      </c>
      <c r="M88" s="69">
        <v>3524</v>
      </c>
      <c r="N88" s="54"/>
      <c r="O88" s="69">
        <v>4309</v>
      </c>
      <c r="P88" s="69">
        <v>4309</v>
      </c>
      <c r="Q88" s="69">
        <v>4309</v>
      </c>
      <c r="R88" s="69">
        <v>3748</v>
      </c>
      <c r="S88" s="69"/>
      <c r="T88" s="69">
        <v>20661</v>
      </c>
      <c r="U88" s="69">
        <v>20661</v>
      </c>
      <c r="V88" s="69">
        <v>18390</v>
      </c>
      <c r="W88" s="54"/>
      <c r="X88" s="69">
        <v>243</v>
      </c>
      <c r="Y88" s="69">
        <v>238</v>
      </c>
      <c r="Z88" s="54"/>
      <c r="AA88" s="108">
        <v>-29370</v>
      </c>
      <c r="AB88" s="54"/>
      <c r="AC88" s="108">
        <f>VLOOKUP(A88,'Change in Proportion Calc'!$A$5:$H$311,8,FALSE)+SUMIF($C$5:$AB$5,2026,C88:AB88)</f>
        <v>-10123</v>
      </c>
      <c r="AE88" s="107">
        <f t="shared" si="7"/>
        <v>66555</v>
      </c>
      <c r="AF88" s="107">
        <f t="shared" si="8"/>
        <v>46545</v>
      </c>
      <c r="AH88" s="107"/>
      <c r="AI88" s="108"/>
      <c r="AJ88" s="108"/>
      <c r="AK88" s="213">
        <f t="shared" si="5"/>
        <v>19301</v>
      </c>
      <c r="AL88" s="107">
        <f t="shared" si="6"/>
        <v>19242</v>
      </c>
      <c r="AM88" s="107">
        <f t="shared" si="6"/>
        <v>16733</v>
      </c>
      <c r="AN88" s="107">
        <f t="shared" si="6"/>
        <v>-2218</v>
      </c>
      <c r="AO88" s="107">
        <f t="shared" si="6"/>
        <v>-6234</v>
      </c>
      <c r="AP88" s="107">
        <f t="shared" si="6"/>
        <v>-7513</v>
      </c>
    </row>
    <row r="89" spans="1:42">
      <c r="A89" s="51">
        <v>19059</v>
      </c>
      <c r="B89" s="55" t="s">
        <v>81</v>
      </c>
      <c r="C89" s="234">
        <f>_xlfn.XLOOKUP($A89,'Change in Proportion Calc'!$A$5:$A$311,'Change in Proportion Calc'!L$5:L$311,"n",0,1)</f>
        <v>-76501</v>
      </c>
      <c r="D89" s="234">
        <f>_xlfn.XLOOKUP($A89,'Change in Proportion Calc'!$A$5:$A$311,'Change in Proportion Calc'!M$5:M$311,"n",0,1)</f>
        <v>-76501</v>
      </c>
      <c r="E89" s="234">
        <f>_xlfn.XLOOKUP($A89,'Change in Proportion Calc'!$A$5:$A$311,'Change in Proportion Calc'!N$5:N$311,"n",0,1)</f>
        <v>-76501</v>
      </c>
      <c r="F89" s="234">
        <f>_xlfn.XLOOKUP($A89,'Change in Proportion Calc'!$A$5:$A$311,'Change in Proportion Calc'!O$5:O$311,"n",0,1)</f>
        <v>-76501</v>
      </c>
      <c r="G89" s="234">
        <f>_xlfn.XLOOKUP($A89,'Change in Proportion Calc'!$A$5:$A$311,'Change in Proportion Calc'!P$5:P$311,"n",0,1)</f>
        <v>-58905</v>
      </c>
      <c r="H89" s="54"/>
      <c r="I89" s="69">
        <v>-191881</v>
      </c>
      <c r="J89" s="69">
        <v>-191881</v>
      </c>
      <c r="K89" s="69">
        <v>-191881</v>
      </c>
      <c r="L89" s="69">
        <v>-191881</v>
      </c>
      <c r="M89" s="69">
        <v>-178450</v>
      </c>
      <c r="N89" s="54"/>
      <c r="O89" s="69">
        <v>-145736</v>
      </c>
      <c r="P89" s="69">
        <v>-145736</v>
      </c>
      <c r="Q89" s="69">
        <v>-145736</v>
      </c>
      <c r="R89" s="69">
        <v>-126789</v>
      </c>
      <c r="S89" s="69"/>
      <c r="T89" s="69">
        <v>454487</v>
      </c>
      <c r="U89" s="69">
        <v>454487</v>
      </c>
      <c r="V89" s="69">
        <v>404492</v>
      </c>
      <c r="W89" s="54"/>
      <c r="X89" s="69">
        <v>-73943</v>
      </c>
      <c r="Y89" s="69">
        <v>-72466</v>
      </c>
      <c r="Z89" s="54"/>
      <c r="AA89" s="108">
        <v>362103</v>
      </c>
      <c r="AB89" s="54"/>
      <c r="AC89" s="108">
        <f>VLOOKUP(A89,'Change in Proportion Calc'!$A$5:$H$311,8,FALSE)+SUMIF($C$5:$AB$5,2026,C89:AB89)</f>
        <v>328529</v>
      </c>
      <c r="AE89" s="107">
        <f t="shared" si="7"/>
        <v>858979</v>
      </c>
      <c r="AF89" s="107">
        <f t="shared" si="8"/>
        <v>1609729</v>
      </c>
      <c r="AH89" s="107"/>
      <c r="AI89" s="108"/>
      <c r="AJ89" s="108"/>
      <c r="AK89" s="213">
        <f t="shared" si="5"/>
        <v>19059</v>
      </c>
      <c r="AL89" s="107">
        <f t="shared" si="6"/>
        <v>-32097</v>
      </c>
      <c r="AM89" s="107">
        <f t="shared" si="6"/>
        <v>-9626</v>
      </c>
      <c r="AN89" s="107">
        <f t="shared" si="6"/>
        <v>-395171</v>
      </c>
      <c r="AO89" s="107">
        <f t="shared" si="6"/>
        <v>-254951</v>
      </c>
      <c r="AP89" s="107">
        <f t="shared" si="6"/>
        <v>-58905</v>
      </c>
    </row>
    <row r="90" spans="1:42">
      <c r="A90" s="53">
        <v>18057</v>
      </c>
      <c r="B90" s="54" t="s">
        <v>82</v>
      </c>
      <c r="C90" s="234">
        <f>_xlfn.XLOOKUP($A90,'Change in Proportion Calc'!$A$5:$A$311,'Change in Proportion Calc'!L$5:L$311,"n",0,1)</f>
        <v>-1558</v>
      </c>
      <c r="D90" s="234">
        <f>_xlfn.XLOOKUP($A90,'Change in Proportion Calc'!$A$5:$A$311,'Change in Proportion Calc'!M$5:M$311,"n",0,1)</f>
        <v>-1558</v>
      </c>
      <c r="E90" s="234">
        <f>_xlfn.XLOOKUP($A90,'Change in Proportion Calc'!$A$5:$A$311,'Change in Proportion Calc'!N$5:N$311,"n",0,1)</f>
        <v>-1558</v>
      </c>
      <c r="F90" s="234">
        <f>_xlfn.XLOOKUP($A90,'Change in Proportion Calc'!$A$5:$A$311,'Change in Proportion Calc'!O$5:O$311,"n",0,1)</f>
        <v>-1558</v>
      </c>
      <c r="G90" s="234">
        <f>_xlfn.XLOOKUP($A90,'Change in Proportion Calc'!$A$5:$A$311,'Change in Proportion Calc'!P$5:P$311,"n",0,1)</f>
        <v>-1202</v>
      </c>
      <c r="H90" s="54"/>
      <c r="I90" s="69">
        <v>9692</v>
      </c>
      <c r="J90" s="69">
        <v>9692</v>
      </c>
      <c r="K90" s="69">
        <v>9692</v>
      </c>
      <c r="L90" s="69">
        <v>9692</v>
      </c>
      <c r="M90" s="69">
        <v>9015</v>
      </c>
      <c r="N90" s="54"/>
      <c r="O90" s="69">
        <v>8332</v>
      </c>
      <c r="P90" s="69">
        <v>8332</v>
      </c>
      <c r="Q90" s="69">
        <v>8332</v>
      </c>
      <c r="R90" s="69">
        <v>7249</v>
      </c>
      <c r="S90" s="69"/>
      <c r="T90" s="69">
        <v>8149</v>
      </c>
      <c r="U90" s="69">
        <v>8149</v>
      </c>
      <c r="V90" s="69">
        <v>7255</v>
      </c>
      <c r="W90" s="54"/>
      <c r="X90" s="69">
        <v>2754</v>
      </c>
      <c r="Y90" s="69">
        <v>2697</v>
      </c>
      <c r="Z90" s="54"/>
      <c r="AA90" s="108">
        <v>-6734</v>
      </c>
      <c r="AB90" s="54"/>
      <c r="AC90" s="108">
        <f>VLOOKUP(A90,'Change in Proportion Calc'!$A$5:$H$311,8,FALSE)+SUMIF($C$5:$AB$5,2026,C90:AB90)</f>
        <v>20635</v>
      </c>
      <c r="AE90" s="107">
        <f t="shared" si="7"/>
        <v>80105</v>
      </c>
      <c r="AF90" s="107">
        <f t="shared" si="8"/>
        <v>7434</v>
      </c>
      <c r="AH90" s="107"/>
      <c r="AI90" s="108"/>
      <c r="AJ90" s="108"/>
      <c r="AK90" s="213">
        <f t="shared" si="5"/>
        <v>18057</v>
      </c>
      <c r="AL90" s="107">
        <f t="shared" si="6"/>
        <v>27312</v>
      </c>
      <c r="AM90" s="107">
        <f t="shared" si="6"/>
        <v>23721</v>
      </c>
      <c r="AN90" s="107">
        <f t="shared" si="6"/>
        <v>15383</v>
      </c>
      <c r="AO90" s="107">
        <f t="shared" si="6"/>
        <v>7457</v>
      </c>
      <c r="AP90" s="107">
        <f t="shared" si="6"/>
        <v>-1202</v>
      </c>
    </row>
    <row r="91" spans="1:42">
      <c r="A91" s="51">
        <v>4008</v>
      </c>
      <c r="B91" s="55" t="s">
        <v>83</v>
      </c>
      <c r="C91" s="234">
        <f>_xlfn.XLOOKUP($A91,'Change in Proportion Calc'!$A$5:$A$311,'Change in Proportion Calc'!L$5:L$311,"n",0,1)</f>
        <v>-19385</v>
      </c>
      <c r="D91" s="234">
        <f>_xlfn.XLOOKUP($A91,'Change in Proportion Calc'!$A$5:$A$311,'Change in Proportion Calc'!M$5:M$311,"n",0,1)</f>
        <v>-19385</v>
      </c>
      <c r="E91" s="234">
        <f>_xlfn.XLOOKUP($A91,'Change in Proportion Calc'!$A$5:$A$311,'Change in Proportion Calc'!N$5:N$311,"n",0,1)</f>
        <v>-19385</v>
      </c>
      <c r="F91" s="234">
        <f>_xlfn.XLOOKUP($A91,'Change in Proportion Calc'!$A$5:$A$311,'Change in Proportion Calc'!O$5:O$311,"n",0,1)</f>
        <v>-19385</v>
      </c>
      <c r="G91" s="234">
        <f>_xlfn.XLOOKUP($A91,'Change in Proportion Calc'!$A$5:$A$311,'Change in Proportion Calc'!P$5:P$311,"n",0,1)</f>
        <v>-14928</v>
      </c>
      <c r="H91" s="54"/>
      <c r="I91" s="69">
        <v>-50734</v>
      </c>
      <c r="J91" s="69">
        <v>-50734</v>
      </c>
      <c r="K91" s="69">
        <v>-50734</v>
      </c>
      <c r="L91" s="69">
        <v>-50734</v>
      </c>
      <c r="M91" s="69">
        <v>-47181</v>
      </c>
      <c r="N91" s="54"/>
      <c r="O91" s="69">
        <v>93780</v>
      </c>
      <c r="P91" s="69">
        <v>93780</v>
      </c>
      <c r="Q91" s="69">
        <v>93780</v>
      </c>
      <c r="R91" s="69">
        <v>81587</v>
      </c>
      <c r="S91" s="69"/>
      <c r="T91" s="69">
        <v>-32836</v>
      </c>
      <c r="U91" s="69">
        <v>-32836</v>
      </c>
      <c r="V91" s="69">
        <v>-29226</v>
      </c>
      <c r="W91" s="54"/>
      <c r="X91" s="69">
        <v>26564</v>
      </c>
      <c r="Y91" s="69">
        <v>26035</v>
      </c>
      <c r="Z91" s="54"/>
      <c r="AA91" s="108">
        <v>-32735</v>
      </c>
      <c r="AB91" s="54"/>
      <c r="AC91" s="108">
        <f>VLOOKUP(A91,'Change in Proportion Calc'!$A$5:$H$311,8,FALSE)+SUMIF($C$5:$AB$5,2026,C91:AB91)</f>
        <v>-15346</v>
      </c>
      <c r="AE91" s="107">
        <f t="shared" si="7"/>
        <v>295182</v>
      </c>
      <c r="AF91" s="107">
        <f t="shared" si="8"/>
        <v>353913</v>
      </c>
      <c r="AH91" s="107"/>
      <c r="AI91" s="108"/>
      <c r="AJ91" s="108"/>
      <c r="AK91" s="213">
        <f t="shared" si="5"/>
        <v>4008</v>
      </c>
      <c r="AL91" s="107">
        <f t="shared" si="6"/>
        <v>16860</v>
      </c>
      <c r="AM91" s="107">
        <f t="shared" si="6"/>
        <v>-5565</v>
      </c>
      <c r="AN91" s="107">
        <f t="shared" si="6"/>
        <v>11468</v>
      </c>
      <c r="AO91" s="107">
        <f t="shared" si="6"/>
        <v>-66566</v>
      </c>
      <c r="AP91" s="107">
        <f t="shared" si="6"/>
        <v>-14928</v>
      </c>
    </row>
    <row r="92" spans="1:42">
      <c r="A92" s="88">
        <v>2350</v>
      </c>
      <c r="B92" s="89" t="s">
        <v>84</v>
      </c>
      <c r="C92" s="234">
        <f>_xlfn.XLOOKUP($A92,'Change in Proportion Calc'!$A$5:$A$311,'Change in Proportion Calc'!L$5:L$311,"n",0,1)</f>
        <v>-24928</v>
      </c>
      <c r="D92" s="234">
        <f>_xlfn.XLOOKUP($A92,'Change in Proportion Calc'!$A$5:$A$311,'Change in Proportion Calc'!M$5:M$311,"n",0,1)</f>
        <v>-24928</v>
      </c>
      <c r="E92" s="234">
        <f>_xlfn.XLOOKUP($A92,'Change in Proportion Calc'!$A$5:$A$311,'Change in Proportion Calc'!N$5:N$311,"n",0,1)</f>
        <v>-24928</v>
      </c>
      <c r="F92" s="234">
        <f>_xlfn.XLOOKUP($A92,'Change in Proportion Calc'!$A$5:$A$311,'Change in Proportion Calc'!O$5:O$311,"n",0,1)</f>
        <v>-24928</v>
      </c>
      <c r="G92" s="234">
        <f>_xlfn.XLOOKUP($A92,'Change in Proportion Calc'!$A$5:$A$311,'Change in Proportion Calc'!P$5:P$311,"n",0,1)</f>
        <v>-19196</v>
      </c>
      <c r="H92" s="54"/>
      <c r="I92" s="69">
        <v>-18020</v>
      </c>
      <c r="J92" s="69">
        <v>-18020</v>
      </c>
      <c r="K92" s="69">
        <v>-18020</v>
      </c>
      <c r="L92" s="69">
        <v>-18020</v>
      </c>
      <c r="M92" s="69">
        <v>-16760</v>
      </c>
      <c r="N92" s="54"/>
      <c r="O92" s="69">
        <v>12838</v>
      </c>
      <c r="P92" s="69">
        <v>12838</v>
      </c>
      <c r="Q92" s="69">
        <v>12838</v>
      </c>
      <c r="R92" s="69">
        <v>11167</v>
      </c>
      <c r="S92" s="69"/>
      <c r="T92" s="69">
        <v>10410</v>
      </c>
      <c r="U92" s="69">
        <v>10410</v>
      </c>
      <c r="V92" s="69">
        <v>9263</v>
      </c>
      <c r="W92" s="54"/>
      <c r="X92" s="69">
        <v>27294</v>
      </c>
      <c r="Y92" s="69">
        <v>26746</v>
      </c>
      <c r="Z92" s="54"/>
      <c r="AA92" s="108">
        <v>15149</v>
      </c>
      <c r="AB92" s="54"/>
      <c r="AC92" s="108">
        <f>VLOOKUP(A92,'Change in Proportion Calc'!$A$5:$H$311,8,FALSE)+SUMIF($C$5:$AB$5,2026,C92:AB92)</f>
        <v>22743</v>
      </c>
      <c r="AE92" s="107">
        <f t="shared" si="7"/>
        <v>83262</v>
      </c>
      <c r="AF92" s="107">
        <f t="shared" si="8"/>
        <v>189728</v>
      </c>
      <c r="AH92" s="107"/>
      <c r="AI92" s="108"/>
      <c r="AJ92" s="108"/>
      <c r="AK92" s="213">
        <f t="shared" si="5"/>
        <v>2350</v>
      </c>
      <c r="AL92" s="107">
        <f t="shared" si="6"/>
        <v>7046</v>
      </c>
      <c r="AM92" s="107">
        <f t="shared" si="6"/>
        <v>-20847</v>
      </c>
      <c r="AN92" s="107">
        <f t="shared" si="6"/>
        <v>-31781</v>
      </c>
      <c r="AO92" s="107">
        <f t="shared" si="6"/>
        <v>-41688</v>
      </c>
      <c r="AP92" s="107">
        <f t="shared" si="6"/>
        <v>-19196</v>
      </c>
    </row>
    <row r="93" spans="1:42">
      <c r="A93" s="51">
        <v>11117</v>
      </c>
      <c r="B93" s="55" t="s">
        <v>85</v>
      </c>
      <c r="C93" s="234">
        <f>_xlfn.XLOOKUP($A93,'Change in Proportion Calc'!$A$5:$A$311,'Change in Proportion Calc'!L$5:L$311,"n",0,1)</f>
        <v>10436</v>
      </c>
      <c r="D93" s="234">
        <f>_xlfn.XLOOKUP($A93,'Change in Proportion Calc'!$A$5:$A$311,'Change in Proportion Calc'!M$5:M$311,"n",0,1)</f>
        <v>10436</v>
      </c>
      <c r="E93" s="234">
        <f>_xlfn.XLOOKUP($A93,'Change in Proportion Calc'!$A$5:$A$311,'Change in Proportion Calc'!N$5:N$311,"n",0,1)</f>
        <v>10436</v>
      </c>
      <c r="F93" s="234">
        <f>_xlfn.XLOOKUP($A93,'Change in Proportion Calc'!$A$5:$A$311,'Change in Proportion Calc'!O$5:O$311,"n",0,1)</f>
        <v>10436</v>
      </c>
      <c r="G93" s="234">
        <f>_xlfn.XLOOKUP($A93,'Change in Proportion Calc'!$A$5:$A$311,'Change in Proportion Calc'!P$5:P$311,"n",0,1)</f>
        <v>8035</v>
      </c>
      <c r="H93" s="54"/>
      <c r="I93" s="69">
        <v>-13523</v>
      </c>
      <c r="J93" s="69">
        <v>-13523</v>
      </c>
      <c r="K93" s="69">
        <v>-13523</v>
      </c>
      <c r="L93" s="69">
        <v>-13523</v>
      </c>
      <c r="M93" s="69">
        <v>-12579</v>
      </c>
      <c r="N93" s="54"/>
      <c r="O93" s="69">
        <v>-3758</v>
      </c>
      <c r="P93" s="69">
        <v>-3758</v>
      </c>
      <c r="Q93" s="69">
        <v>-3758</v>
      </c>
      <c r="R93" s="69">
        <v>-3271</v>
      </c>
      <c r="S93" s="69"/>
      <c r="T93" s="69">
        <v>-23556</v>
      </c>
      <c r="U93" s="69">
        <v>-23556</v>
      </c>
      <c r="V93" s="69">
        <v>-20963</v>
      </c>
      <c r="W93" s="54"/>
      <c r="X93" s="69">
        <v>7451</v>
      </c>
      <c r="Y93" s="69">
        <v>7302</v>
      </c>
      <c r="Z93" s="54"/>
      <c r="AA93" s="108">
        <v>2525</v>
      </c>
      <c r="AB93" s="54"/>
      <c r="AC93" s="108">
        <f>VLOOKUP(A93,'Change in Proportion Calc'!$A$5:$H$311,8,FALSE)+SUMIF($C$5:$AB$5,2026,C93:AB93)</f>
        <v>-20425</v>
      </c>
      <c r="AE93" s="107">
        <f t="shared" si="7"/>
        <v>57081</v>
      </c>
      <c r="AF93" s="107">
        <f t="shared" si="8"/>
        <v>108454</v>
      </c>
      <c r="AH93" s="107"/>
      <c r="AI93" s="108"/>
      <c r="AJ93" s="108"/>
      <c r="AK93" s="213">
        <f t="shared" si="5"/>
        <v>11117</v>
      </c>
      <c r="AL93" s="107">
        <f t="shared" si="6"/>
        <v>-23099</v>
      </c>
      <c r="AM93" s="107">
        <f t="shared" si="6"/>
        <v>-27808</v>
      </c>
      <c r="AN93" s="107">
        <f t="shared" si="6"/>
        <v>-6358</v>
      </c>
      <c r="AO93" s="107">
        <f t="shared" si="6"/>
        <v>-2143</v>
      </c>
      <c r="AP93" s="107">
        <f t="shared" si="6"/>
        <v>8035</v>
      </c>
    </row>
    <row r="94" spans="1:42">
      <c r="A94" s="53">
        <v>16359</v>
      </c>
      <c r="B94" s="54" t="s">
        <v>86</v>
      </c>
      <c r="C94" s="234">
        <f>_xlfn.XLOOKUP($A94,'Change in Proportion Calc'!$A$5:$A$311,'Change in Proportion Calc'!L$5:L$311,"n",0,1)</f>
        <v>-2398</v>
      </c>
      <c r="D94" s="234">
        <f>_xlfn.XLOOKUP($A94,'Change in Proportion Calc'!$A$5:$A$311,'Change in Proportion Calc'!M$5:M$311,"n",0,1)</f>
        <v>-2398</v>
      </c>
      <c r="E94" s="234">
        <f>_xlfn.XLOOKUP($A94,'Change in Proportion Calc'!$A$5:$A$311,'Change in Proportion Calc'!N$5:N$311,"n",0,1)</f>
        <v>-2398</v>
      </c>
      <c r="F94" s="234">
        <f>_xlfn.XLOOKUP($A94,'Change in Proportion Calc'!$A$5:$A$311,'Change in Proportion Calc'!O$5:O$311,"n",0,1)</f>
        <v>-2398</v>
      </c>
      <c r="G94" s="234">
        <f>_xlfn.XLOOKUP($A94,'Change in Proportion Calc'!$A$5:$A$311,'Change in Proportion Calc'!P$5:P$311,"n",0,1)</f>
        <v>-1845</v>
      </c>
      <c r="H94" s="54"/>
      <c r="I94" s="69">
        <v>-15576</v>
      </c>
      <c r="J94" s="69">
        <v>-15576</v>
      </c>
      <c r="K94" s="69">
        <v>-15576</v>
      </c>
      <c r="L94" s="69">
        <v>-15576</v>
      </c>
      <c r="M94" s="69">
        <v>-14484</v>
      </c>
      <c r="N94" s="54"/>
      <c r="O94" s="69">
        <v>20855</v>
      </c>
      <c r="P94" s="69">
        <v>20855</v>
      </c>
      <c r="Q94" s="69">
        <v>20855</v>
      </c>
      <c r="R94" s="69">
        <v>18144</v>
      </c>
      <c r="S94" s="69"/>
      <c r="T94" s="69">
        <v>5406</v>
      </c>
      <c r="U94" s="69">
        <v>5406</v>
      </c>
      <c r="V94" s="69">
        <v>4813</v>
      </c>
      <c r="W94" s="54"/>
      <c r="X94" s="69">
        <v>9233</v>
      </c>
      <c r="Y94" s="69">
        <v>9047</v>
      </c>
      <c r="Z94" s="54"/>
      <c r="AA94" s="108">
        <v>2441</v>
      </c>
      <c r="AB94" s="54"/>
      <c r="AC94" s="108">
        <f>VLOOKUP(A94,'Change in Proportion Calc'!$A$5:$H$311,8,FALSE)+SUMIF($C$5:$AB$5,2026,C94:AB94)</f>
        <v>19961</v>
      </c>
      <c r="AE94" s="107">
        <f t="shared" si="7"/>
        <v>79120</v>
      </c>
      <c r="AF94" s="107">
        <f t="shared" si="8"/>
        <v>72649</v>
      </c>
      <c r="AH94" s="107"/>
      <c r="AI94" s="108"/>
      <c r="AJ94" s="108"/>
      <c r="AK94" s="213">
        <f t="shared" si="5"/>
        <v>16359</v>
      </c>
      <c r="AL94" s="107">
        <f t="shared" si="6"/>
        <v>17334</v>
      </c>
      <c r="AM94" s="107">
        <f t="shared" si="6"/>
        <v>7694</v>
      </c>
      <c r="AN94" s="107">
        <f t="shared" si="6"/>
        <v>170</v>
      </c>
      <c r="AO94" s="107">
        <f t="shared" si="6"/>
        <v>-16882</v>
      </c>
      <c r="AP94" s="107">
        <f t="shared" si="6"/>
        <v>-1845</v>
      </c>
    </row>
    <row r="95" spans="1:42">
      <c r="A95" s="51">
        <v>17115</v>
      </c>
      <c r="B95" s="55" t="s">
        <v>87</v>
      </c>
      <c r="C95" s="234">
        <f>_xlfn.XLOOKUP($A95,'Change in Proportion Calc'!$A$5:$A$311,'Change in Proportion Calc'!L$5:L$311,"n",0,1)</f>
        <v>7448</v>
      </c>
      <c r="D95" s="234">
        <f>_xlfn.XLOOKUP($A95,'Change in Proportion Calc'!$A$5:$A$311,'Change in Proportion Calc'!M$5:M$311,"n",0,1)</f>
        <v>7448</v>
      </c>
      <c r="E95" s="234">
        <f>_xlfn.XLOOKUP($A95,'Change in Proportion Calc'!$A$5:$A$311,'Change in Proportion Calc'!N$5:N$311,"n",0,1)</f>
        <v>7448</v>
      </c>
      <c r="F95" s="234">
        <f>_xlfn.XLOOKUP($A95,'Change in Proportion Calc'!$A$5:$A$311,'Change in Proportion Calc'!O$5:O$311,"n",0,1)</f>
        <v>7448</v>
      </c>
      <c r="G95" s="234">
        <f>_xlfn.XLOOKUP($A95,'Change in Proportion Calc'!$A$5:$A$311,'Change in Proportion Calc'!P$5:P$311,"n",0,1)</f>
        <v>5735</v>
      </c>
      <c r="H95" s="54"/>
      <c r="I95" s="69">
        <v>11690</v>
      </c>
      <c r="J95" s="69">
        <v>11690</v>
      </c>
      <c r="K95" s="69">
        <v>11690</v>
      </c>
      <c r="L95" s="69">
        <v>11690</v>
      </c>
      <c r="M95" s="69">
        <v>10871</v>
      </c>
      <c r="N95" s="54"/>
      <c r="O95" s="69">
        <v>66763</v>
      </c>
      <c r="P95" s="69">
        <v>66763</v>
      </c>
      <c r="Q95" s="69">
        <v>66763</v>
      </c>
      <c r="R95" s="69">
        <v>58086</v>
      </c>
      <c r="S95" s="69"/>
      <c r="T95" s="69">
        <v>75270</v>
      </c>
      <c r="U95" s="69">
        <v>75270</v>
      </c>
      <c r="V95" s="69">
        <v>66992</v>
      </c>
      <c r="W95" s="54"/>
      <c r="X95" s="69">
        <v>-99860</v>
      </c>
      <c r="Y95" s="69">
        <v>-97863</v>
      </c>
      <c r="Z95" s="54"/>
      <c r="AA95" s="108">
        <v>10689</v>
      </c>
      <c r="AB95" s="54"/>
      <c r="AC95" s="108">
        <f>VLOOKUP(A95,'Change in Proportion Calc'!$A$5:$H$311,8,FALSE)+SUMIF($C$5:$AB$5,2026,C95:AB95)</f>
        <v>72000</v>
      </c>
      <c r="AE95" s="107">
        <f t="shared" si="7"/>
        <v>415342</v>
      </c>
      <c r="AF95" s="107">
        <f t="shared" si="8"/>
        <v>97863</v>
      </c>
      <c r="AH95" s="107"/>
      <c r="AI95" s="108"/>
      <c r="AJ95" s="108"/>
      <c r="AK95" s="213">
        <f t="shared" si="5"/>
        <v>17115</v>
      </c>
      <c r="AL95" s="107">
        <f t="shared" si="6"/>
        <v>63308</v>
      </c>
      <c r="AM95" s="107">
        <f t="shared" si="6"/>
        <v>152893</v>
      </c>
      <c r="AN95" s="107">
        <f t="shared" si="6"/>
        <v>77224</v>
      </c>
      <c r="AO95" s="107">
        <f t="shared" si="6"/>
        <v>18319</v>
      </c>
      <c r="AP95" s="107">
        <f t="shared" si="6"/>
        <v>5735</v>
      </c>
    </row>
    <row r="96" spans="1:42">
      <c r="A96" s="53">
        <v>13437</v>
      </c>
      <c r="B96" s="54" t="s">
        <v>88</v>
      </c>
      <c r="C96" s="234">
        <f>_xlfn.XLOOKUP($A96,'Change in Proportion Calc'!$A$5:$A$311,'Change in Proportion Calc'!L$5:L$311,"n",0,1)</f>
        <v>10888</v>
      </c>
      <c r="D96" s="234">
        <f>_xlfn.XLOOKUP($A96,'Change in Proportion Calc'!$A$5:$A$311,'Change in Proportion Calc'!M$5:M$311,"n",0,1)</f>
        <v>10888</v>
      </c>
      <c r="E96" s="234">
        <f>_xlfn.XLOOKUP($A96,'Change in Proportion Calc'!$A$5:$A$311,'Change in Proportion Calc'!N$5:N$311,"n",0,1)</f>
        <v>10888</v>
      </c>
      <c r="F96" s="234">
        <f>_xlfn.XLOOKUP($A96,'Change in Proportion Calc'!$A$5:$A$311,'Change in Proportion Calc'!O$5:O$311,"n",0,1)</f>
        <v>10888</v>
      </c>
      <c r="G96" s="234">
        <f>_xlfn.XLOOKUP($A96,'Change in Proportion Calc'!$A$5:$A$311,'Change in Proportion Calc'!P$5:P$311,"n",0,1)</f>
        <v>8384</v>
      </c>
      <c r="H96" s="54"/>
      <c r="I96" s="69">
        <v>4805</v>
      </c>
      <c r="J96" s="69">
        <v>4805</v>
      </c>
      <c r="K96" s="69">
        <v>4805</v>
      </c>
      <c r="L96" s="69">
        <v>4805</v>
      </c>
      <c r="M96" s="69">
        <v>4469</v>
      </c>
      <c r="N96" s="54"/>
      <c r="O96" s="69">
        <v>15354</v>
      </c>
      <c r="P96" s="69">
        <v>15354</v>
      </c>
      <c r="Q96" s="69">
        <v>15354</v>
      </c>
      <c r="R96" s="69">
        <v>13356</v>
      </c>
      <c r="S96" s="69"/>
      <c r="T96" s="69">
        <v>1990</v>
      </c>
      <c r="U96" s="69">
        <v>1990</v>
      </c>
      <c r="V96" s="69">
        <v>1772</v>
      </c>
      <c r="W96" s="54"/>
      <c r="X96" s="69">
        <v>4859</v>
      </c>
      <c r="Y96" s="69">
        <v>4764</v>
      </c>
      <c r="Z96" s="54"/>
      <c r="AA96" s="108">
        <v>10773</v>
      </c>
      <c r="AB96" s="54"/>
      <c r="AC96" s="108">
        <f>VLOOKUP(A96,'Change in Proportion Calc'!$A$5:$H$311,8,FALSE)+SUMIF($C$5:$AB$5,2026,C96:AB96)</f>
        <v>48669</v>
      </c>
      <c r="AE96" s="107">
        <f t="shared" si="7"/>
        <v>123410</v>
      </c>
      <c r="AF96" s="107">
        <f t="shared" si="8"/>
        <v>0</v>
      </c>
      <c r="AH96" s="107"/>
      <c r="AI96" s="108"/>
      <c r="AJ96" s="108"/>
      <c r="AK96" s="213">
        <f t="shared" si="5"/>
        <v>13437</v>
      </c>
      <c r="AL96" s="107">
        <f t="shared" si="6"/>
        <v>37801</v>
      </c>
      <c r="AM96" s="107">
        <f t="shared" si="6"/>
        <v>32819</v>
      </c>
      <c r="AN96" s="107">
        <f t="shared" si="6"/>
        <v>29049</v>
      </c>
      <c r="AO96" s="107">
        <f t="shared" si="6"/>
        <v>15357</v>
      </c>
      <c r="AP96" s="107">
        <f t="shared" si="6"/>
        <v>8384</v>
      </c>
    </row>
    <row r="97" spans="1:42">
      <c r="A97" s="51">
        <v>2304</v>
      </c>
      <c r="B97" s="55" t="s">
        <v>89</v>
      </c>
      <c r="C97" s="234">
        <f>_xlfn.XLOOKUP($A97,'Change in Proportion Calc'!$A$5:$A$311,'Change in Proportion Calc'!L$5:L$311,"n",0,1)</f>
        <v>5898</v>
      </c>
      <c r="D97" s="234">
        <f>_xlfn.XLOOKUP($A97,'Change in Proportion Calc'!$A$5:$A$311,'Change in Proportion Calc'!M$5:M$311,"n",0,1)</f>
        <v>5898</v>
      </c>
      <c r="E97" s="234">
        <f>_xlfn.XLOOKUP($A97,'Change in Proportion Calc'!$A$5:$A$311,'Change in Proportion Calc'!N$5:N$311,"n",0,1)</f>
        <v>5898</v>
      </c>
      <c r="F97" s="234">
        <f>_xlfn.XLOOKUP($A97,'Change in Proportion Calc'!$A$5:$A$311,'Change in Proportion Calc'!O$5:O$311,"n",0,1)</f>
        <v>5898</v>
      </c>
      <c r="G97" s="234">
        <f>_xlfn.XLOOKUP($A97,'Change in Proportion Calc'!$A$5:$A$311,'Change in Proportion Calc'!P$5:P$311,"n",0,1)</f>
        <v>4539</v>
      </c>
      <c r="H97" s="54"/>
      <c r="I97" s="69">
        <v>40500</v>
      </c>
      <c r="J97" s="69">
        <v>40500</v>
      </c>
      <c r="K97" s="69">
        <v>40500</v>
      </c>
      <c r="L97" s="69">
        <v>40500</v>
      </c>
      <c r="M97" s="69">
        <v>37666</v>
      </c>
      <c r="N97" s="54"/>
      <c r="O97" s="69">
        <v>-94399</v>
      </c>
      <c r="P97" s="69">
        <v>-94399</v>
      </c>
      <c r="Q97" s="69">
        <v>-94399</v>
      </c>
      <c r="R97" s="69">
        <v>-82125</v>
      </c>
      <c r="S97" s="69"/>
      <c r="T97" s="69">
        <v>82847</v>
      </c>
      <c r="U97" s="69">
        <v>82847</v>
      </c>
      <c r="V97" s="69">
        <v>73736</v>
      </c>
      <c r="W97" s="54"/>
      <c r="X97" s="69">
        <v>11987</v>
      </c>
      <c r="Y97" s="69">
        <v>11745</v>
      </c>
      <c r="Z97" s="54"/>
      <c r="AA97" s="108">
        <v>3704</v>
      </c>
      <c r="AB97" s="54"/>
      <c r="AC97" s="108">
        <f>VLOOKUP(A97,'Change in Proportion Calc'!$A$5:$H$311,8,FALSE)+SUMIF($C$5:$AB$5,2026,C97:AB97)</f>
        <v>50537</v>
      </c>
      <c r="AE97" s="107">
        <f t="shared" si="7"/>
        <v>355625</v>
      </c>
      <c r="AF97" s="107">
        <f t="shared" si="8"/>
        <v>270923</v>
      </c>
      <c r="AH97" s="107"/>
      <c r="AI97" s="108"/>
      <c r="AJ97" s="108"/>
      <c r="AK97" s="213">
        <f t="shared" si="5"/>
        <v>2304</v>
      </c>
      <c r="AL97" s="107">
        <f t="shared" si="6"/>
        <v>46591</v>
      </c>
      <c r="AM97" s="107">
        <f t="shared" si="6"/>
        <v>25735</v>
      </c>
      <c r="AN97" s="107">
        <f t="shared" si="6"/>
        <v>-35727</v>
      </c>
      <c r="AO97" s="107">
        <f t="shared" si="6"/>
        <v>43564</v>
      </c>
      <c r="AP97" s="107">
        <f t="shared" si="6"/>
        <v>4539</v>
      </c>
    </row>
    <row r="98" spans="1:42">
      <c r="A98" s="53">
        <v>11101</v>
      </c>
      <c r="B98" s="54" t="s">
        <v>91</v>
      </c>
      <c r="C98" s="234">
        <f>_xlfn.XLOOKUP($A98,'Change in Proportion Calc'!$A$5:$A$311,'Change in Proportion Calc'!L$5:L$311,"n",0,1)</f>
        <v>24280</v>
      </c>
      <c r="D98" s="234">
        <f>_xlfn.XLOOKUP($A98,'Change in Proportion Calc'!$A$5:$A$311,'Change in Proportion Calc'!M$5:M$311,"n",0,1)</f>
        <v>24280</v>
      </c>
      <c r="E98" s="234">
        <f>_xlfn.XLOOKUP($A98,'Change in Proportion Calc'!$A$5:$A$311,'Change in Proportion Calc'!N$5:N$311,"n",0,1)</f>
        <v>24280</v>
      </c>
      <c r="F98" s="234">
        <f>_xlfn.XLOOKUP($A98,'Change in Proportion Calc'!$A$5:$A$311,'Change in Proportion Calc'!O$5:O$311,"n",0,1)</f>
        <v>24280</v>
      </c>
      <c r="G98" s="234">
        <f>_xlfn.XLOOKUP($A98,'Change in Proportion Calc'!$A$5:$A$311,'Change in Proportion Calc'!P$5:P$311,"n",0,1)</f>
        <v>18694</v>
      </c>
      <c r="H98" s="54"/>
      <c r="I98" s="69">
        <v>187510</v>
      </c>
      <c r="J98" s="69">
        <v>187510</v>
      </c>
      <c r="K98" s="69">
        <v>187510</v>
      </c>
      <c r="L98" s="69">
        <v>187510</v>
      </c>
      <c r="M98" s="69">
        <v>174382</v>
      </c>
      <c r="N98" s="54"/>
      <c r="O98" s="69">
        <v>-845444</v>
      </c>
      <c r="P98" s="69">
        <v>-845444</v>
      </c>
      <c r="Q98" s="69">
        <v>-845444</v>
      </c>
      <c r="R98" s="69">
        <v>-735534</v>
      </c>
      <c r="S98" s="69"/>
      <c r="T98" s="69">
        <v>351674</v>
      </c>
      <c r="U98" s="69">
        <v>351674</v>
      </c>
      <c r="V98" s="69">
        <v>312991</v>
      </c>
      <c r="W98" s="54"/>
      <c r="X98" s="69">
        <v>-150883</v>
      </c>
      <c r="Y98" s="69">
        <v>-147867</v>
      </c>
      <c r="Z98" s="54"/>
      <c r="AA98" s="108">
        <v>180251</v>
      </c>
      <c r="AB98" s="54"/>
      <c r="AC98" s="108">
        <f>VLOOKUP(A98,'Change in Proportion Calc'!$A$5:$H$311,8,FALSE)+SUMIF($C$5:$AB$5,2026,C98:AB98)</f>
        <v>-252612</v>
      </c>
      <c r="AE98" s="107">
        <f t="shared" si="7"/>
        <v>1517391</v>
      </c>
      <c r="AF98" s="107">
        <f t="shared" si="8"/>
        <v>2574289</v>
      </c>
      <c r="AH98" s="107"/>
      <c r="AI98" s="108"/>
      <c r="AJ98" s="108"/>
      <c r="AK98" s="213">
        <f t="shared" si="5"/>
        <v>11101</v>
      </c>
      <c r="AL98" s="107">
        <f t="shared" si="6"/>
        <v>-429847</v>
      </c>
      <c r="AM98" s="107">
        <f t="shared" si="6"/>
        <v>-320663</v>
      </c>
      <c r="AN98" s="107">
        <f t="shared" si="6"/>
        <v>-523744</v>
      </c>
      <c r="AO98" s="107">
        <f t="shared" si="6"/>
        <v>198662</v>
      </c>
      <c r="AP98" s="107">
        <f t="shared" si="6"/>
        <v>18694</v>
      </c>
    </row>
    <row r="99" spans="1:42">
      <c r="A99" s="51">
        <v>11102</v>
      </c>
      <c r="B99" s="55" t="s">
        <v>90</v>
      </c>
      <c r="C99" s="234">
        <f>_xlfn.XLOOKUP($A99,'Change in Proportion Calc'!$A$5:$A$311,'Change in Proportion Calc'!L$5:L$311,"n",0,1)</f>
        <v>-56687</v>
      </c>
      <c r="D99" s="234">
        <f>_xlfn.XLOOKUP($A99,'Change in Proportion Calc'!$A$5:$A$311,'Change in Proportion Calc'!M$5:M$311,"n",0,1)</f>
        <v>-56687</v>
      </c>
      <c r="E99" s="234">
        <f>_xlfn.XLOOKUP($A99,'Change in Proportion Calc'!$A$5:$A$311,'Change in Proportion Calc'!N$5:N$311,"n",0,1)</f>
        <v>-56687</v>
      </c>
      <c r="F99" s="234">
        <f>_xlfn.XLOOKUP($A99,'Change in Proportion Calc'!$A$5:$A$311,'Change in Proportion Calc'!O$5:O$311,"n",0,1)</f>
        <v>-56687</v>
      </c>
      <c r="G99" s="234">
        <f>_xlfn.XLOOKUP($A99,'Change in Proportion Calc'!$A$5:$A$311,'Change in Proportion Calc'!P$5:P$311,"n",0,1)</f>
        <v>-43651</v>
      </c>
      <c r="H99" s="54"/>
      <c r="I99" s="69">
        <v>-27518</v>
      </c>
      <c r="J99" s="69">
        <v>-27518</v>
      </c>
      <c r="K99" s="69">
        <v>-27518</v>
      </c>
      <c r="L99" s="69">
        <v>-27518</v>
      </c>
      <c r="M99" s="69">
        <v>-25590</v>
      </c>
      <c r="N99" s="54"/>
      <c r="O99" s="69">
        <v>6807</v>
      </c>
      <c r="P99" s="69">
        <v>6807</v>
      </c>
      <c r="Q99" s="69">
        <v>6807</v>
      </c>
      <c r="R99" s="69">
        <v>5920</v>
      </c>
      <c r="S99" s="69"/>
      <c r="T99" s="69">
        <v>62430</v>
      </c>
      <c r="U99" s="69">
        <v>62430</v>
      </c>
      <c r="V99" s="69">
        <v>55562</v>
      </c>
      <c r="W99" s="54"/>
      <c r="X99" s="69">
        <v>-82366</v>
      </c>
      <c r="Y99" s="69">
        <v>-80720</v>
      </c>
      <c r="Z99" s="54"/>
      <c r="AA99" s="108">
        <v>-189004</v>
      </c>
      <c r="AB99" s="54"/>
      <c r="AC99" s="108">
        <f>VLOOKUP(A99,'Change in Proportion Calc'!$A$5:$H$311,8,FALSE)+SUMIF($C$5:$AB$5,2026,C99:AB99)</f>
        <v>-286338</v>
      </c>
      <c r="AE99" s="107">
        <f t="shared" si="7"/>
        <v>137526</v>
      </c>
      <c r="AF99" s="107">
        <f t="shared" si="8"/>
        <v>459263</v>
      </c>
      <c r="AH99" s="107"/>
      <c r="AI99" s="108"/>
      <c r="AJ99" s="108"/>
      <c r="AK99" s="213">
        <f t="shared" si="5"/>
        <v>11102</v>
      </c>
      <c r="AL99" s="107">
        <f t="shared" si="6"/>
        <v>-95688</v>
      </c>
      <c r="AM99" s="107">
        <f t="shared" si="6"/>
        <v>-21836</v>
      </c>
      <c r="AN99" s="107">
        <f t="shared" si="6"/>
        <v>-78285</v>
      </c>
      <c r="AO99" s="107">
        <f t="shared" si="6"/>
        <v>-82277</v>
      </c>
      <c r="AP99" s="107">
        <f t="shared" si="6"/>
        <v>-43651</v>
      </c>
    </row>
    <row r="100" spans="1:42">
      <c r="A100" s="53">
        <v>3100</v>
      </c>
      <c r="B100" s="54" t="s">
        <v>92</v>
      </c>
      <c r="C100" s="234">
        <f>_xlfn.XLOOKUP($A100,'Change in Proportion Calc'!$A$5:$A$311,'Change in Proportion Calc'!L$5:L$311,"n",0,1)</f>
        <v>-70396</v>
      </c>
      <c r="D100" s="234">
        <f>_xlfn.XLOOKUP($A100,'Change in Proportion Calc'!$A$5:$A$311,'Change in Proportion Calc'!M$5:M$311,"n",0,1)</f>
        <v>-70396</v>
      </c>
      <c r="E100" s="234">
        <f>_xlfn.XLOOKUP($A100,'Change in Proportion Calc'!$A$5:$A$311,'Change in Proportion Calc'!N$5:N$311,"n",0,1)</f>
        <v>-70396</v>
      </c>
      <c r="F100" s="234">
        <f>_xlfn.XLOOKUP($A100,'Change in Proportion Calc'!$A$5:$A$311,'Change in Proportion Calc'!O$5:O$311,"n",0,1)</f>
        <v>-70396</v>
      </c>
      <c r="G100" s="234">
        <f>_xlfn.XLOOKUP($A100,'Change in Proportion Calc'!$A$5:$A$311,'Change in Proportion Calc'!P$5:P$311,"n",0,1)</f>
        <v>-54207</v>
      </c>
      <c r="H100" s="54"/>
      <c r="I100" s="69">
        <v>93693</v>
      </c>
      <c r="J100" s="69">
        <v>93693</v>
      </c>
      <c r="K100" s="69">
        <v>93693</v>
      </c>
      <c r="L100" s="69">
        <v>93693</v>
      </c>
      <c r="M100" s="69">
        <v>87136</v>
      </c>
      <c r="N100" s="54"/>
      <c r="O100" s="69">
        <v>-238630</v>
      </c>
      <c r="P100" s="69">
        <v>-238630</v>
      </c>
      <c r="Q100" s="69">
        <v>-238630</v>
      </c>
      <c r="R100" s="69">
        <v>-207608</v>
      </c>
      <c r="S100" s="69"/>
      <c r="T100" s="69">
        <v>-120633</v>
      </c>
      <c r="U100" s="69">
        <v>-120633</v>
      </c>
      <c r="V100" s="69">
        <v>-107361</v>
      </c>
      <c r="W100" s="54"/>
      <c r="X100" s="69">
        <v>299985</v>
      </c>
      <c r="Y100" s="69">
        <v>293985</v>
      </c>
      <c r="Z100" s="54"/>
      <c r="AA100" s="108">
        <v>-112344</v>
      </c>
      <c r="AB100" s="54"/>
      <c r="AC100" s="108">
        <f>VLOOKUP(A100,'Change in Proportion Calc'!$A$5:$H$311,8,FALSE)+SUMIF($C$5:$AB$5,2026,C100:AB100)</f>
        <v>-148325</v>
      </c>
      <c r="AE100" s="107">
        <f t="shared" si="7"/>
        <v>662200</v>
      </c>
      <c r="AF100" s="107">
        <f t="shared" si="8"/>
        <v>1248653</v>
      </c>
      <c r="AH100" s="107"/>
      <c r="AI100" s="108"/>
      <c r="AJ100" s="108"/>
      <c r="AK100" s="213">
        <f t="shared" si="5"/>
        <v>3100</v>
      </c>
      <c r="AL100" s="107">
        <f t="shared" si="6"/>
        <v>-41981</v>
      </c>
      <c r="AM100" s="107">
        <f t="shared" si="6"/>
        <v>-322694</v>
      </c>
      <c r="AN100" s="107">
        <f t="shared" si="6"/>
        <v>-184311</v>
      </c>
      <c r="AO100" s="107">
        <f t="shared" si="6"/>
        <v>16740</v>
      </c>
      <c r="AP100" s="107">
        <f t="shared" si="6"/>
        <v>-54207</v>
      </c>
    </row>
    <row r="101" spans="1:42">
      <c r="A101" s="51">
        <v>2323</v>
      </c>
      <c r="B101" s="55" t="s">
        <v>93</v>
      </c>
      <c r="C101" s="234">
        <f>_xlfn.XLOOKUP($A101,'Change in Proportion Calc'!$A$5:$A$311,'Change in Proportion Calc'!L$5:L$311,"n",0,1)</f>
        <v>-13564</v>
      </c>
      <c r="D101" s="234">
        <f>_xlfn.XLOOKUP($A101,'Change in Proportion Calc'!$A$5:$A$311,'Change in Proportion Calc'!M$5:M$311,"n",0,1)</f>
        <v>-13564</v>
      </c>
      <c r="E101" s="234">
        <f>_xlfn.XLOOKUP($A101,'Change in Proportion Calc'!$A$5:$A$311,'Change in Proportion Calc'!N$5:N$311,"n",0,1)</f>
        <v>-13564</v>
      </c>
      <c r="F101" s="234">
        <f>_xlfn.XLOOKUP($A101,'Change in Proportion Calc'!$A$5:$A$311,'Change in Proportion Calc'!O$5:O$311,"n",0,1)</f>
        <v>-13564</v>
      </c>
      <c r="G101" s="234">
        <f>_xlfn.XLOOKUP($A101,'Change in Proportion Calc'!$A$5:$A$311,'Change in Proportion Calc'!P$5:P$311,"n",0,1)</f>
        <v>-10445</v>
      </c>
      <c r="H101" s="54"/>
      <c r="I101" s="69">
        <v>-28777</v>
      </c>
      <c r="J101" s="69">
        <v>-28777</v>
      </c>
      <c r="K101" s="69">
        <v>-28777</v>
      </c>
      <c r="L101" s="69">
        <v>-28777</v>
      </c>
      <c r="M101" s="69">
        <v>-26764</v>
      </c>
      <c r="N101" s="54"/>
      <c r="O101" s="69">
        <v>12669</v>
      </c>
      <c r="P101" s="69">
        <v>12669</v>
      </c>
      <c r="Q101" s="69">
        <v>12669</v>
      </c>
      <c r="R101" s="69">
        <v>11023</v>
      </c>
      <c r="S101" s="69"/>
      <c r="T101" s="69">
        <v>9942</v>
      </c>
      <c r="U101" s="69">
        <v>9942</v>
      </c>
      <c r="V101" s="69">
        <v>8848</v>
      </c>
      <c r="W101" s="54"/>
      <c r="X101" s="69">
        <v>324</v>
      </c>
      <c r="Y101" s="69">
        <v>317</v>
      </c>
      <c r="Z101" s="54"/>
      <c r="AA101" s="108">
        <v>40983</v>
      </c>
      <c r="AB101" s="54"/>
      <c r="AC101" s="108">
        <f>VLOOKUP(A101,'Change in Proportion Calc'!$A$5:$H$311,8,FALSE)+SUMIF($C$5:$AB$5,2026,C101:AB101)</f>
        <v>21577</v>
      </c>
      <c r="AE101" s="107">
        <f t="shared" si="7"/>
        <v>55468</v>
      </c>
      <c r="AF101" s="107">
        <f t="shared" si="8"/>
        <v>177796</v>
      </c>
      <c r="AH101" s="107"/>
      <c r="AI101" s="108"/>
      <c r="AJ101" s="108"/>
      <c r="AK101" s="213">
        <f t="shared" si="5"/>
        <v>2323</v>
      </c>
      <c r="AL101" s="107">
        <f t="shared" si="6"/>
        <v>-19413</v>
      </c>
      <c r="AM101" s="107">
        <f t="shared" si="6"/>
        <v>-20824</v>
      </c>
      <c r="AN101" s="107">
        <f t="shared" si="6"/>
        <v>-31318</v>
      </c>
      <c r="AO101" s="107">
        <f t="shared" si="6"/>
        <v>-40328</v>
      </c>
      <c r="AP101" s="107">
        <f t="shared" si="6"/>
        <v>-10445</v>
      </c>
    </row>
    <row r="102" spans="1:42">
      <c r="A102" s="53">
        <v>11034</v>
      </c>
      <c r="B102" s="54" t="s">
        <v>94</v>
      </c>
      <c r="C102" s="234">
        <f>_xlfn.XLOOKUP($A102,'Change in Proportion Calc'!$A$5:$A$311,'Change in Proportion Calc'!L$5:L$311,"n",0,1)</f>
        <v>6409</v>
      </c>
      <c r="D102" s="234">
        <f>_xlfn.XLOOKUP($A102,'Change in Proportion Calc'!$A$5:$A$311,'Change in Proportion Calc'!M$5:M$311,"n",0,1)</f>
        <v>6409</v>
      </c>
      <c r="E102" s="234">
        <f>_xlfn.XLOOKUP($A102,'Change in Proportion Calc'!$A$5:$A$311,'Change in Proportion Calc'!N$5:N$311,"n",0,1)</f>
        <v>6409</v>
      </c>
      <c r="F102" s="234">
        <f>_xlfn.XLOOKUP($A102,'Change in Proportion Calc'!$A$5:$A$311,'Change in Proportion Calc'!O$5:O$311,"n",0,1)</f>
        <v>6409</v>
      </c>
      <c r="G102" s="234">
        <f>_xlfn.XLOOKUP($A102,'Change in Proportion Calc'!$A$5:$A$311,'Change in Proportion Calc'!P$5:P$311,"n",0,1)</f>
        <v>4934</v>
      </c>
      <c r="H102" s="54"/>
      <c r="I102" s="69">
        <v>-3816</v>
      </c>
      <c r="J102" s="69">
        <v>-3816</v>
      </c>
      <c r="K102" s="69">
        <v>-3816</v>
      </c>
      <c r="L102" s="69">
        <v>-3816</v>
      </c>
      <c r="M102" s="69">
        <v>-3547</v>
      </c>
      <c r="N102" s="54"/>
      <c r="O102" s="69">
        <v>17813</v>
      </c>
      <c r="P102" s="69">
        <v>17813</v>
      </c>
      <c r="Q102" s="69">
        <v>17813</v>
      </c>
      <c r="R102" s="69">
        <v>15495</v>
      </c>
      <c r="S102" s="69"/>
      <c r="T102" s="69">
        <v>-11388</v>
      </c>
      <c r="U102" s="69">
        <v>-11388</v>
      </c>
      <c r="V102" s="69">
        <v>-10133</v>
      </c>
      <c r="W102" s="54"/>
      <c r="X102" s="69">
        <v>-3078</v>
      </c>
      <c r="Y102" s="69">
        <v>-3014</v>
      </c>
      <c r="Z102" s="54"/>
      <c r="AA102" s="108">
        <v>13042</v>
      </c>
      <c r="AB102" s="54"/>
      <c r="AC102" s="108">
        <f>VLOOKUP(A102,'Change in Proportion Calc'!$A$5:$H$311,8,FALSE)+SUMIF($C$5:$AB$5,2026,C102:AB102)</f>
        <v>18982</v>
      </c>
      <c r="AE102" s="107">
        <f t="shared" si="7"/>
        <v>81691</v>
      </c>
      <c r="AF102" s="107">
        <f t="shared" si="8"/>
        <v>39530</v>
      </c>
      <c r="AH102" s="107"/>
      <c r="AI102" s="108"/>
      <c r="AJ102" s="108"/>
      <c r="AK102" s="213">
        <f t="shared" si="5"/>
        <v>11034</v>
      </c>
      <c r="AL102" s="107">
        <f t="shared" si="6"/>
        <v>6004</v>
      </c>
      <c r="AM102" s="107">
        <f t="shared" si="6"/>
        <v>10273</v>
      </c>
      <c r="AN102" s="107">
        <f t="shared" si="6"/>
        <v>18088</v>
      </c>
      <c r="AO102" s="107">
        <f t="shared" si="6"/>
        <v>2862</v>
      </c>
      <c r="AP102" s="107">
        <f t="shared" si="6"/>
        <v>4934</v>
      </c>
    </row>
    <row r="103" spans="1:42">
      <c r="A103" s="51">
        <v>588001</v>
      </c>
      <c r="B103" s="55" t="s">
        <v>475</v>
      </c>
      <c r="C103" s="234">
        <f>_xlfn.XLOOKUP($A103,'Change in Proportion Calc'!$A$5:$A$311,'Change in Proportion Calc'!L$5:L$311,"n",0,1)</f>
        <v>5464</v>
      </c>
      <c r="D103" s="234">
        <f>_xlfn.XLOOKUP($A103,'Change in Proportion Calc'!$A$5:$A$311,'Change in Proportion Calc'!M$5:M$311,"n",0,1)</f>
        <v>5464</v>
      </c>
      <c r="E103" s="234">
        <f>_xlfn.XLOOKUP($A103,'Change in Proportion Calc'!$A$5:$A$311,'Change in Proportion Calc'!N$5:N$311,"n",0,1)</f>
        <v>5464</v>
      </c>
      <c r="F103" s="234">
        <f>_xlfn.XLOOKUP($A103,'Change in Proportion Calc'!$A$5:$A$311,'Change in Proportion Calc'!O$5:O$311,"n",0,1)</f>
        <v>5464</v>
      </c>
      <c r="G103" s="234">
        <f>_xlfn.XLOOKUP($A103,'Change in Proportion Calc'!$A$5:$A$311,'Change in Proportion Calc'!P$5:P$311,"n",0,1)</f>
        <v>4210</v>
      </c>
      <c r="H103" s="54"/>
      <c r="I103" s="69"/>
      <c r="J103" s="69"/>
      <c r="K103" s="69"/>
      <c r="L103" s="69"/>
      <c r="M103" s="69"/>
      <c r="N103" s="54"/>
      <c r="O103" s="69"/>
      <c r="P103" s="69"/>
      <c r="Q103" s="69"/>
      <c r="R103" s="69"/>
      <c r="S103" s="69"/>
      <c r="T103" s="69"/>
      <c r="U103" s="69"/>
      <c r="V103" s="69"/>
      <c r="W103" s="54"/>
      <c r="X103" s="69"/>
      <c r="Y103" s="69"/>
      <c r="Z103" s="54"/>
      <c r="AA103" s="108"/>
      <c r="AB103" s="54"/>
      <c r="AC103" s="108">
        <f>VLOOKUP(A103,'Change in Proportion Calc'!$A$5:$H$311,8,FALSE)+SUMIF($C$5:$AB$5,2026,C103:AB103)</f>
        <v>5464</v>
      </c>
      <c r="AE103" s="107">
        <f t="shared" si="7"/>
        <v>26066</v>
      </c>
      <c r="AF103" s="107">
        <f t="shared" si="8"/>
        <v>0</v>
      </c>
      <c r="AH103" s="107"/>
      <c r="AI103" s="108"/>
      <c r="AJ103" s="108"/>
      <c r="AK103" s="213">
        <f t="shared" si="5"/>
        <v>588001</v>
      </c>
      <c r="AL103" s="107">
        <f t="shared" si="6"/>
        <v>5464</v>
      </c>
      <c r="AM103" s="107">
        <f t="shared" si="6"/>
        <v>5464</v>
      </c>
      <c r="AN103" s="107">
        <f t="shared" si="6"/>
        <v>5464</v>
      </c>
      <c r="AO103" s="107">
        <f t="shared" si="6"/>
        <v>5464</v>
      </c>
      <c r="AP103" s="107">
        <f t="shared" si="6"/>
        <v>4210</v>
      </c>
    </row>
    <row r="104" spans="1:42">
      <c r="A104" s="51">
        <v>17054</v>
      </c>
      <c r="B104" s="55" t="s">
        <v>95</v>
      </c>
      <c r="C104" s="234">
        <f>_xlfn.XLOOKUP($A104,'Change in Proportion Calc'!$A$5:$A$311,'Change in Proportion Calc'!L$5:L$311,"n",0,1)</f>
        <v>-28565</v>
      </c>
      <c r="D104" s="234">
        <f>_xlfn.XLOOKUP($A104,'Change in Proportion Calc'!$A$5:$A$311,'Change in Proportion Calc'!M$5:M$311,"n",0,1)</f>
        <v>-28565</v>
      </c>
      <c r="E104" s="234">
        <f>_xlfn.XLOOKUP($A104,'Change in Proportion Calc'!$A$5:$A$311,'Change in Proportion Calc'!N$5:N$311,"n",0,1)</f>
        <v>-28565</v>
      </c>
      <c r="F104" s="234">
        <f>_xlfn.XLOOKUP($A104,'Change in Proportion Calc'!$A$5:$A$311,'Change in Proportion Calc'!O$5:O$311,"n",0,1)</f>
        <v>-28565</v>
      </c>
      <c r="G104" s="234">
        <f>_xlfn.XLOOKUP($A104,'Change in Proportion Calc'!$A$5:$A$311,'Change in Proportion Calc'!P$5:P$311,"n",0,1)</f>
        <v>-21997</v>
      </c>
      <c r="H104" s="54"/>
      <c r="I104" s="69">
        <v>-67549</v>
      </c>
      <c r="J104" s="69">
        <v>-67549</v>
      </c>
      <c r="K104" s="69">
        <v>-67549</v>
      </c>
      <c r="L104" s="69">
        <v>-67549</v>
      </c>
      <c r="M104" s="69">
        <v>-62819</v>
      </c>
      <c r="N104" s="54"/>
      <c r="O104" s="69">
        <v>-172932</v>
      </c>
      <c r="P104" s="69">
        <v>-172932</v>
      </c>
      <c r="Q104" s="69">
        <v>-172932</v>
      </c>
      <c r="R104" s="69">
        <v>-150450</v>
      </c>
      <c r="S104" s="69"/>
      <c r="T104" s="69">
        <v>-133629</v>
      </c>
      <c r="U104" s="69">
        <v>-133629</v>
      </c>
      <c r="V104" s="69">
        <v>-118932</v>
      </c>
      <c r="W104" s="54"/>
      <c r="X104" s="69">
        <v>15793</v>
      </c>
      <c r="Y104" s="69">
        <v>15477</v>
      </c>
      <c r="Z104" s="54"/>
      <c r="AA104" s="108">
        <v>72288</v>
      </c>
      <c r="AB104" s="54"/>
      <c r="AC104" s="108">
        <f>VLOOKUP(A104,'Change in Proportion Calc'!$A$5:$H$311,8,FALSE)+SUMIF($C$5:$AB$5,2026,C104:AB104)</f>
        <v>-314594</v>
      </c>
      <c r="AE104" s="107">
        <f t="shared" si="7"/>
        <v>15477</v>
      </c>
      <c r="AF104" s="107">
        <f t="shared" si="8"/>
        <v>1150598</v>
      </c>
      <c r="AH104" s="107"/>
      <c r="AI104" s="108"/>
      <c r="AJ104" s="108"/>
      <c r="AK104" s="213">
        <f t="shared" si="5"/>
        <v>17054</v>
      </c>
      <c r="AL104" s="107">
        <f t="shared" si="6"/>
        <v>-387198</v>
      </c>
      <c r="AM104" s="107">
        <f t="shared" si="6"/>
        <v>-387978</v>
      </c>
      <c r="AN104" s="107">
        <f t="shared" si="6"/>
        <v>-246564</v>
      </c>
      <c r="AO104" s="107">
        <f t="shared" si="6"/>
        <v>-91384</v>
      </c>
      <c r="AP104" s="107">
        <f t="shared" si="6"/>
        <v>-21997</v>
      </c>
    </row>
    <row r="105" spans="1:42">
      <c r="A105" s="53">
        <v>22065</v>
      </c>
      <c r="B105" s="54" t="s">
        <v>96</v>
      </c>
      <c r="C105" s="234">
        <f>_xlfn.XLOOKUP($A105,'Change in Proportion Calc'!$A$5:$A$311,'Change in Proportion Calc'!L$5:L$311,"n",0,1)</f>
        <v>-1939</v>
      </c>
      <c r="D105" s="234">
        <f>_xlfn.XLOOKUP($A105,'Change in Proportion Calc'!$A$5:$A$311,'Change in Proportion Calc'!M$5:M$311,"n",0,1)</f>
        <v>-1939</v>
      </c>
      <c r="E105" s="234">
        <f>_xlfn.XLOOKUP($A105,'Change in Proportion Calc'!$A$5:$A$311,'Change in Proportion Calc'!N$5:N$311,"n",0,1)</f>
        <v>-1939</v>
      </c>
      <c r="F105" s="234">
        <f>_xlfn.XLOOKUP($A105,'Change in Proportion Calc'!$A$5:$A$311,'Change in Proportion Calc'!O$5:O$311,"n",0,1)</f>
        <v>-1939</v>
      </c>
      <c r="G105" s="234">
        <f>_xlfn.XLOOKUP($A105,'Change in Proportion Calc'!$A$5:$A$311,'Change in Proportion Calc'!P$5:P$311,"n",0,1)</f>
        <v>-1492</v>
      </c>
      <c r="H105" s="54"/>
      <c r="I105" s="69">
        <v>45721</v>
      </c>
      <c r="J105" s="69">
        <v>45721</v>
      </c>
      <c r="K105" s="69">
        <v>45721</v>
      </c>
      <c r="L105" s="69">
        <v>45721</v>
      </c>
      <c r="M105" s="69">
        <v>42519</v>
      </c>
      <c r="N105" s="54"/>
      <c r="O105" s="69">
        <v>-22593</v>
      </c>
      <c r="P105" s="69">
        <v>-22593</v>
      </c>
      <c r="Q105" s="69">
        <v>-22593</v>
      </c>
      <c r="R105" s="69">
        <v>-19656</v>
      </c>
      <c r="S105" s="69"/>
      <c r="T105" s="69">
        <v>23036</v>
      </c>
      <c r="U105" s="69">
        <v>23036</v>
      </c>
      <c r="V105" s="69">
        <v>20501</v>
      </c>
      <c r="W105" s="54"/>
      <c r="X105" s="69">
        <v>-4454</v>
      </c>
      <c r="Y105" s="69">
        <v>-4367</v>
      </c>
      <c r="Z105" s="54"/>
      <c r="AA105" s="108">
        <v>45777</v>
      </c>
      <c r="AB105" s="54"/>
      <c r="AC105" s="108">
        <f>VLOOKUP(A105,'Change in Proportion Calc'!$A$5:$H$311,8,FALSE)+SUMIF($C$5:$AB$5,2026,C105:AB105)</f>
        <v>85548</v>
      </c>
      <c r="AE105" s="107">
        <f t="shared" si="7"/>
        <v>223219</v>
      </c>
      <c r="AF105" s="107">
        <f t="shared" si="8"/>
        <v>78457</v>
      </c>
      <c r="AH105" s="107"/>
      <c r="AI105" s="108"/>
      <c r="AJ105" s="108"/>
      <c r="AK105" s="213">
        <f t="shared" si="5"/>
        <v>22065</v>
      </c>
      <c r="AL105" s="107">
        <f t="shared" si="6"/>
        <v>39858</v>
      </c>
      <c r="AM105" s="107">
        <f t="shared" si="6"/>
        <v>41690</v>
      </c>
      <c r="AN105" s="107">
        <f t="shared" si="6"/>
        <v>24126</v>
      </c>
      <c r="AO105" s="107">
        <f t="shared" si="6"/>
        <v>40580</v>
      </c>
      <c r="AP105" s="107">
        <f t="shared" si="6"/>
        <v>-1492</v>
      </c>
    </row>
    <row r="106" spans="1:42">
      <c r="A106" s="51">
        <v>22201</v>
      </c>
      <c r="B106" s="55" t="s">
        <v>97</v>
      </c>
      <c r="C106" s="234">
        <f>_xlfn.XLOOKUP($A106,'Change in Proportion Calc'!$A$5:$A$311,'Change in Proportion Calc'!L$5:L$311,"n",0,1)</f>
        <v>-24517</v>
      </c>
      <c r="D106" s="234">
        <f>_xlfn.XLOOKUP($A106,'Change in Proportion Calc'!$A$5:$A$311,'Change in Proportion Calc'!M$5:M$311,"n",0,1)</f>
        <v>-24517</v>
      </c>
      <c r="E106" s="234">
        <f>_xlfn.XLOOKUP($A106,'Change in Proportion Calc'!$A$5:$A$311,'Change in Proportion Calc'!N$5:N$311,"n",0,1)</f>
        <v>-24517</v>
      </c>
      <c r="F106" s="234">
        <f>_xlfn.XLOOKUP($A106,'Change in Proportion Calc'!$A$5:$A$311,'Change in Proportion Calc'!O$5:O$311,"n",0,1)</f>
        <v>-24517</v>
      </c>
      <c r="G106" s="234">
        <f>_xlfn.XLOOKUP($A106,'Change in Proportion Calc'!$A$5:$A$311,'Change in Proportion Calc'!P$5:P$311,"n",0,1)</f>
        <v>-18876</v>
      </c>
      <c r="H106" s="54"/>
      <c r="I106" s="69">
        <v>40662</v>
      </c>
      <c r="J106" s="69">
        <v>40662</v>
      </c>
      <c r="K106" s="69">
        <v>40662</v>
      </c>
      <c r="L106" s="69">
        <v>40662</v>
      </c>
      <c r="M106" s="69">
        <v>37818</v>
      </c>
      <c r="N106" s="54"/>
      <c r="O106" s="69">
        <v>20557</v>
      </c>
      <c r="P106" s="69">
        <v>20557</v>
      </c>
      <c r="Q106" s="69">
        <v>20557</v>
      </c>
      <c r="R106" s="69">
        <v>17887</v>
      </c>
      <c r="S106" s="69"/>
      <c r="T106" s="69">
        <v>24112</v>
      </c>
      <c r="U106" s="69">
        <v>24112</v>
      </c>
      <c r="V106" s="69">
        <v>21462</v>
      </c>
      <c r="W106" s="54"/>
      <c r="X106" s="69">
        <v>-9962</v>
      </c>
      <c r="Y106" s="69">
        <v>-9761</v>
      </c>
      <c r="Z106" s="54"/>
      <c r="AA106" s="108">
        <v>29960</v>
      </c>
      <c r="AB106" s="54"/>
      <c r="AC106" s="108">
        <f>VLOOKUP(A106,'Change in Proportion Calc'!$A$5:$H$311,8,FALSE)+SUMIF($C$5:$AB$5,2026,C106:AB106)</f>
        <v>80812</v>
      </c>
      <c r="AE106" s="107">
        <f t="shared" si="7"/>
        <v>264379</v>
      </c>
      <c r="AF106" s="107">
        <f t="shared" si="8"/>
        <v>126705</v>
      </c>
      <c r="AH106" s="107"/>
      <c r="AI106" s="108"/>
      <c r="AJ106" s="108"/>
      <c r="AK106" s="213">
        <f t="shared" si="5"/>
        <v>22201</v>
      </c>
      <c r="AL106" s="107">
        <f t="shared" si="6"/>
        <v>51053</v>
      </c>
      <c r="AM106" s="107">
        <f t="shared" si="6"/>
        <v>58164</v>
      </c>
      <c r="AN106" s="107">
        <f t="shared" si="6"/>
        <v>34032</v>
      </c>
      <c r="AO106" s="107">
        <f t="shared" si="6"/>
        <v>13301</v>
      </c>
      <c r="AP106" s="107">
        <f t="shared" si="6"/>
        <v>-18876</v>
      </c>
    </row>
    <row r="107" spans="1:42">
      <c r="A107" s="53">
        <v>6016</v>
      </c>
      <c r="B107" s="54" t="s">
        <v>98</v>
      </c>
      <c r="C107" s="234">
        <f>_xlfn.XLOOKUP($A107,'Change in Proportion Calc'!$A$5:$A$311,'Change in Proportion Calc'!L$5:L$311,"n",0,1)</f>
        <v>17960</v>
      </c>
      <c r="D107" s="234">
        <f>_xlfn.XLOOKUP($A107,'Change in Proportion Calc'!$A$5:$A$311,'Change in Proportion Calc'!M$5:M$311,"n",0,1)</f>
        <v>17960</v>
      </c>
      <c r="E107" s="234">
        <f>_xlfn.XLOOKUP($A107,'Change in Proportion Calc'!$A$5:$A$311,'Change in Proportion Calc'!N$5:N$311,"n",0,1)</f>
        <v>17960</v>
      </c>
      <c r="F107" s="234">
        <f>_xlfn.XLOOKUP($A107,'Change in Proportion Calc'!$A$5:$A$311,'Change in Proportion Calc'!O$5:O$311,"n",0,1)</f>
        <v>17960</v>
      </c>
      <c r="G107" s="234">
        <f>_xlfn.XLOOKUP($A107,'Change in Proportion Calc'!$A$5:$A$311,'Change in Proportion Calc'!P$5:P$311,"n",0,1)</f>
        <v>13831</v>
      </c>
      <c r="H107" s="54"/>
      <c r="I107" s="69">
        <v>-9810</v>
      </c>
      <c r="J107" s="69">
        <v>-9810</v>
      </c>
      <c r="K107" s="69">
        <v>-9810</v>
      </c>
      <c r="L107" s="69">
        <v>-9810</v>
      </c>
      <c r="M107" s="69">
        <v>-9125</v>
      </c>
      <c r="N107" s="54"/>
      <c r="O107" s="69">
        <v>-14782</v>
      </c>
      <c r="P107" s="69">
        <v>-14782</v>
      </c>
      <c r="Q107" s="69">
        <v>-14782</v>
      </c>
      <c r="R107" s="69">
        <v>-12862</v>
      </c>
      <c r="S107" s="69"/>
      <c r="T107" s="69">
        <v>51810</v>
      </c>
      <c r="U107" s="69">
        <v>51810</v>
      </c>
      <c r="V107" s="69">
        <v>46109</v>
      </c>
      <c r="W107" s="54"/>
      <c r="X107" s="69">
        <v>-37903</v>
      </c>
      <c r="Y107" s="69">
        <v>-37145</v>
      </c>
      <c r="Z107" s="54"/>
      <c r="AA107" s="108">
        <v>67406</v>
      </c>
      <c r="AB107" s="54"/>
      <c r="AC107" s="108">
        <f>VLOOKUP(A107,'Change in Proportion Calc'!$A$5:$H$311,8,FALSE)+SUMIF($C$5:$AB$5,2026,C107:AB107)</f>
        <v>74681</v>
      </c>
      <c r="AE107" s="107">
        <f t="shared" si="7"/>
        <v>183590</v>
      </c>
      <c r="AF107" s="107">
        <f t="shared" si="8"/>
        <v>118126</v>
      </c>
      <c r="AH107" s="107"/>
      <c r="AI107" s="108"/>
      <c r="AJ107" s="108"/>
      <c r="AK107" s="213">
        <f t="shared" si="5"/>
        <v>6016</v>
      </c>
      <c r="AL107" s="107">
        <f t="shared" si="6"/>
        <v>8033</v>
      </c>
      <c r="AM107" s="107">
        <f t="shared" si="6"/>
        <v>39477</v>
      </c>
      <c r="AN107" s="107">
        <f t="shared" si="6"/>
        <v>-4712</v>
      </c>
      <c r="AO107" s="107">
        <f t="shared" si="6"/>
        <v>8835</v>
      </c>
      <c r="AP107" s="107">
        <f t="shared" si="6"/>
        <v>13831</v>
      </c>
    </row>
    <row r="108" spans="1:42">
      <c r="A108" s="53">
        <v>7440</v>
      </c>
      <c r="B108" s="54" t="s">
        <v>428</v>
      </c>
      <c r="C108" s="234">
        <f>_xlfn.XLOOKUP($A108,'Change in Proportion Calc'!$A$5:$A$311,'Change in Proportion Calc'!L$5:L$311,"n",0,1)</f>
        <v>100430</v>
      </c>
      <c r="D108" s="234">
        <f>_xlfn.XLOOKUP($A108,'Change in Proportion Calc'!$A$5:$A$311,'Change in Proportion Calc'!M$5:M$311,"n",0,1)</f>
        <v>100430</v>
      </c>
      <c r="E108" s="234">
        <f>_xlfn.XLOOKUP($A108,'Change in Proportion Calc'!$A$5:$A$311,'Change in Proportion Calc'!N$5:N$311,"n",0,1)</f>
        <v>100430</v>
      </c>
      <c r="F108" s="234">
        <f>_xlfn.XLOOKUP($A108,'Change in Proportion Calc'!$A$5:$A$311,'Change in Proportion Calc'!O$5:O$311,"n",0,1)</f>
        <v>100430</v>
      </c>
      <c r="G108" s="234">
        <f>_xlfn.XLOOKUP($A108,'Change in Proportion Calc'!$A$5:$A$311,'Change in Proportion Calc'!P$5:P$311,"n",0,1)</f>
        <v>77329</v>
      </c>
      <c r="H108" s="54"/>
      <c r="I108" s="69">
        <v>75784</v>
      </c>
      <c r="J108" s="69">
        <v>75784</v>
      </c>
      <c r="K108" s="69">
        <v>75784</v>
      </c>
      <c r="L108" s="69">
        <v>75784</v>
      </c>
      <c r="M108" s="69">
        <v>70482</v>
      </c>
      <c r="N108" s="54"/>
      <c r="O108" s="69">
        <v>79847</v>
      </c>
      <c r="P108" s="69">
        <v>79847</v>
      </c>
      <c r="Q108" s="69">
        <v>79847</v>
      </c>
      <c r="R108" s="69">
        <v>69467</v>
      </c>
      <c r="S108" s="69"/>
      <c r="T108" s="69">
        <v>85679</v>
      </c>
      <c r="U108" s="69">
        <v>85679</v>
      </c>
      <c r="V108" s="69">
        <v>76252</v>
      </c>
      <c r="W108" s="54"/>
      <c r="X108" s="69">
        <v>0</v>
      </c>
      <c r="Y108" s="69">
        <v>0</v>
      </c>
      <c r="Z108" s="54"/>
      <c r="AA108" s="108">
        <v>0</v>
      </c>
      <c r="AB108" s="54"/>
      <c r="AC108" s="108">
        <f>VLOOKUP(A108,'Change in Proportion Calc'!$A$5:$H$311,8,FALSE)+SUMIF($C$5:$AB$5,2026,C108:AB108)</f>
        <v>341740</v>
      </c>
      <c r="AE108" s="107">
        <f t="shared" si="7"/>
        <v>1167975</v>
      </c>
      <c r="AF108" s="107">
        <f t="shared" si="8"/>
        <v>0</v>
      </c>
      <c r="AH108" s="107"/>
      <c r="AI108" s="108"/>
      <c r="AJ108" s="108"/>
      <c r="AK108" s="213">
        <f t="shared" si="5"/>
        <v>7440</v>
      </c>
      <c r="AL108" s="107">
        <f t="shared" si="6"/>
        <v>341740</v>
      </c>
      <c r="AM108" s="107">
        <f t="shared" si="6"/>
        <v>332313</v>
      </c>
      <c r="AN108" s="107">
        <f t="shared" si="6"/>
        <v>245681</v>
      </c>
      <c r="AO108" s="107">
        <f t="shared" si="6"/>
        <v>170912</v>
      </c>
      <c r="AP108" s="107">
        <f t="shared" si="6"/>
        <v>77329</v>
      </c>
    </row>
    <row r="109" spans="1:42">
      <c r="A109" s="51">
        <v>2432</v>
      </c>
      <c r="B109" s="55" t="s">
        <v>99</v>
      </c>
      <c r="C109" s="234">
        <f>_xlfn.XLOOKUP($A109,'Change in Proportion Calc'!$A$5:$A$311,'Change in Proportion Calc'!L$5:L$311,"n",0,1)</f>
        <v>71764</v>
      </c>
      <c r="D109" s="234">
        <f>_xlfn.XLOOKUP($A109,'Change in Proportion Calc'!$A$5:$A$311,'Change in Proportion Calc'!M$5:M$311,"n",0,1)</f>
        <v>71764</v>
      </c>
      <c r="E109" s="234">
        <f>_xlfn.XLOOKUP($A109,'Change in Proportion Calc'!$A$5:$A$311,'Change in Proportion Calc'!N$5:N$311,"n",0,1)</f>
        <v>71764</v>
      </c>
      <c r="F109" s="234">
        <f>_xlfn.XLOOKUP($A109,'Change in Proportion Calc'!$A$5:$A$311,'Change in Proportion Calc'!O$5:O$311,"n",0,1)</f>
        <v>71764</v>
      </c>
      <c r="G109" s="234">
        <f>_xlfn.XLOOKUP($A109,'Change in Proportion Calc'!$A$5:$A$311,'Change in Proportion Calc'!P$5:P$311,"n",0,1)</f>
        <v>55258</v>
      </c>
      <c r="H109" s="54"/>
      <c r="I109" s="69">
        <v>-7729</v>
      </c>
      <c r="J109" s="69">
        <v>-7729</v>
      </c>
      <c r="K109" s="69">
        <v>-7729</v>
      </c>
      <c r="L109" s="69">
        <v>-7729</v>
      </c>
      <c r="M109" s="69">
        <v>-7189</v>
      </c>
      <c r="N109" s="54"/>
      <c r="O109" s="69">
        <v>353222</v>
      </c>
      <c r="P109" s="69">
        <v>353222</v>
      </c>
      <c r="Q109" s="69">
        <v>353222</v>
      </c>
      <c r="R109" s="69">
        <v>307301</v>
      </c>
      <c r="S109" s="69"/>
      <c r="T109" s="69">
        <v>306707</v>
      </c>
      <c r="U109" s="69">
        <v>306707</v>
      </c>
      <c r="V109" s="69">
        <v>272968</v>
      </c>
      <c r="W109" s="54"/>
      <c r="X109" s="69">
        <v>147401</v>
      </c>
      <c r="Y109" s="69">
        <v>144452</v>
      </c>
      <c r="Z109" s="54"/>
      <c r="AA109" s="108">
        <v>70521</v>
      </c>
      <c r="AB109" s="54"/>
      <c r="AC109" s="108">
        <f>VLOOKUP(A109,'Change in Proportion Calc'!$A$5:$H$311,8,FALSE)+SUMIF($C$5:$AB$5,2026,C109:AB109)</f>
        <v>941886</v>
      </c>
      <c r="AE109" s="107">
        <f t="shared" si="7"/>
        <v>2080186</v>
      </c>
      <c r="AF109" s="107">
        <f t="shared" si="8"/>
        <v>30376</v>
      </c>
      <c r="AH109" s="107"/>
      <c r="AI109" s="108"/>
      <c r="AJ109" s="108"/>
      <c r="AK109" s="213">
        <f t="shared" si="5"/>
        <v>2432</v>
      </c>
      <c r="AL109" s="107">
        <f t="shared" si="6"/>
        <v>868416</v>
      </c>
      <c r="AM109" s="107">
        <f t="shared" si="6"/>
        <v>690225</v>
      </c>
      <c r="AN109" s="107">
        <f t="shared" si="6"/>
        <v>371336</v>
      </c>
      <c r="AO109" s="107">
        <f t="shared" si="6"/>
        <v>64575</v>
      </c>
      <c r="AP109" s="107">
        <f t="shared" si="6"/>
        <v>55258</v>
      </c>
    </row>
    <row r="110" spans="1:42">
      <c r="A110" s="53">
        <v>29125</v>
      </c>
      <c r="B110" s="54" t="s">
        <v>454</v>
      </c>
      <c r="C110" s="234">
        <f>_xlfn.XLOOKUP($A110,'Change in Proportion Calc'!$A$5:$A$311,'Change in Proportion Calc'!L$5:L$311,"n",0,1)</f>
        <v>57636</v>
      </c>
      <c r="D110" s="234">
        <f>_xlfn.XLOOKUP($A110,'Change in Proportion Calc'!$A$5:$A$311,'Change in Proportion Calc'!M$5:M$311,"n",0,1)</f>
        <v>57636</v>
      </c>
      <c r="E110" s="234">
        <f>_xlfn.XLOOKUP($A110,'Change in Proportion Calc'!$A$5:$A$311,'Change in Proportion Calc'!N$5:N$311,"n",0,1)</f>
        <v>57636</v>
      </c>
      <c r="F110" s="234">
        <f>_xlfn.XLOOKUP($A110,'Change in Proportion Calc'!$A$5:$A$311,'Change in Proportion Calc'!O$5:O$311,"n",0,1)</f>
        <v>57636</v>
      </c>
      <c r="G110" s="234">
        <f>_xlfn.XLOOKUP($A110,'Change in Proportion Calc'!$A$5:$A$311,'Change in Proportion Calc'!P$5:P$311,"n",0,1)</f>
        <v>44379</v>
      </c>
      <c r="H110" s="3"/>
      <c r="I110" s="69">
        <v>140558</v>
      </c>
      <c r="J110" s="69">
        <v>140558</v>
      </c>
      <c r="K110" s="69">
        <v>140558</v>
      </c>
      <c r="L110" s="69">
        <v>140558</v>
      </c>
      <c r="M110" s="69">
        <v>130718</v>
      </c>
      <c r="N110" s="54"/>
      <c r="O110" s="69"/>
      <c r="P110" s="69"/>
      <c r="Q110" s="69"/>
      <c r="R110" s="69"/>
      <c r="S110" s="69"/>
      <c r="T110" s="69"/>
      <c r="U110" s="69"/>
      <c r="V110" s="69"/>
      <c r="W110" s="54"/>
      <c r="X110" s="69"/>
      <c r="Y110" s="69"/>
      <c r="Z110" s="54"/>
      <c r="AA110" s="108"/>
      <c r="AB110" s="54"/>
      <c r="AC110" s="108">
        <f>VLOOKUP(A110,'Change in Proportion Calc'!$A$5:$H$311,8,FALSE)+SUMIF($C$5:$AB$5,2026,C110:AB110)</f>
        <v>198194</v>
      </c>
      <c r="AE110" s="107">
        <f t="shared" si="7"/>
        <v>827315</v>
      </c>
      <c r="AF110" s="107">
        <f t="shared" si="8"/>
        <v>0</v>
      </c>
      <c r="AH110" s="107"/>
      <c r="AI110" s="108"/>
      <c r="AJ110" s="108"/>
      <c r="AK110" s="213">
        <f t="shared" si="5"/>
        <v>29125</v>
      </c>
      <c r="AL110" s="107">
        <f t="shared" si="6"/>
        <v>198194</v>
      </c>
      <c r="AM110" s="107">
        <f t="shared" si="6"/>
        <v>198194</v>
      </c>
      <c r="AN110" s="107">
        <f t="shared" si="6"/>
        <v>198194</v>
      </c>
      <c r="AO110" s="107">
        <f t="shared" si="6"/>
        <v>188354</v>
      </c>
      <c r="AP110" s="107">
        <f t="shared" si="6"/>
        <v>44379</v>
      </c>
    </row>
    <row r="111" spans="1:42">
      <c r="A111" s="53">
        <v>16052</v>
      </c>
      <c r="B111" s="54" t="s">
        <v>100</v>
      </c>
      <c r="C111" s="234">
        <f>_xlfn.XLOOKUP($A111,'Change in Proportion Calc'!$A$5:$A$311,'Change in Proportion Calc'!L$5:L$311,"n",0,1)</f>
        <v>-298546</v>
      </c>
      <c r="D111" s="234">
        <f>_xlfn.XLOOKUP($A111,'Change in Proportion Calc'!$A$5:$A$311,'Change in Proportion Calc'!M$5:M$311,"n",0,1)</f>
        <v>-298546</v>
      </c>
      <c r="E111" s="234">
        <f>_xlfn.XLOOKUP($A111,'Change in Proportion Calc'!$A$5:$A$311,'Change in Proportion Calc'!N$5:N$311,"n",0,1)</f>
        <v>-298546</v>
      </c>
      <c r="F111" s="234">
        <f>_xlfn.XLOOKUP($A111,'Change in Proportion Calc'!$A$5:$A$311,'Change in Proportion Calc'!O$5:O$311,"n",0,1)</f>
        <v>-298546</v>
      </c>
      <c r="G111" s="234">
        <f>_xlfn.XLOOKUP($A111,'Change in Proportion Calc'!$A$5:$A$311,'Change in Proportion Calc'!P$5:P$311,"n",0,1)</f>
        <v>-229880</v>
      </c>
      <c r="H111" s="54"/>
      <c r="I111" s="69">
        <v>-332649</v>
      </c>
      <c r="J111" s="69">
        <v>-332649</v>
      </c>
      <c r="K111" s="69">
        <v>-332649</v>
      </c>
      <c r="L111" s="69">
        <v>-332649</v>
      </c>
      <c r="M111" s="69">
        <v>-309364</v>
      </c>
      <c r="N111" s="54"/>
      <c r="O111" s="69">
        <v>264878</v>
      </c>
      <c r="P111" s="69">
        <v>264878</v>
      </c>
      <c r="Q111" s="69">
        <v>264878</v>
      </c>
      <c r="R111" s="69">
        <v>230442</v>
      </c>
      <c r="S111" s="69"/>
      <c r="T111" s="69">
        <v>-65290</v>
      </c>
      <c r="U111" s="69">
        <v>-65290</v>
      </c>
      <c r="V111" s="69">
        <v>-58108</v>
      </c>
      <c r="W111" s="54"/>
      <c r="X111" s="69">
        <v>-200044</v>
      </c>
      <c r="Y111" s="69">
        <v>-196043</v>
      </c>
      <c r="Z111" s="54"/>
      <c r="AA111" s="108">
        <v>970355</v>
      </c>
      <c r="AB111" s="54"/>
      <c r="AC111" s="108">
        <f>VLOOKUP(A111,'Change in Proportion Calc'!$A$5:$H$311,8,FALSE)+SUMIF($C$5:$AB$5,2026,C111:AB111)</f>
        <v>338704</v>
      </c>
      <c r="AE111" s="107">
        <f t="shared" si="7"/>
        <v>760198</v>
      </c>
      <c r="AF111" s="107">
        <f t="shared" si="8"/>
        <v>3050816</v>
      </c>
      <c r="AH111" s="107"/>
      <c r="AI111" s="108"/>
      <c r="AJ111" s="108"/>
      <c r="AK111" s="213">
        <f t="shared" si="5"/>
        <v>16052</v>
      </c>
      <c r="AL111" s="107">
        <f t="shared" si="6"/>
        <v>-627650</v>
      </c>
      <c r="AM111" s="107">
        <f t="shared" si="6"/>
        <v>-424425</v>
      </c>
      <c r="AN111" s="107">
        <f t="shared" si="6"/>
        <v>-400753</v>
      </c>
      <c r="AO111" s="107">
        <f t="shared" si="6"/>
        <v>-607910</v>
      </c>
      <c r="AP111" s="107">
        <f t="shared" si="6"/>
        <v>-229880</v>
      </c>
    </row>
    <row r="112" spans="1:42">
      <c r="A112" s="51">
        <v>11118</v>
      </c>
      <c r="B112" s="55" t="s">
        <v>101</v>
      </c>
      <c r="C112" s="234">
        <f>_xlfn.XLOOKUP($A112,'Change in Proportion Calc'!$A$5:$A$311,'Change in Proportion Calc'!L$5:L$311,"n",0,1)</f>
        <v>-8947</v>
      </c>
      <c r="D112" s="234">
        <f>_xlfn.XLOOKUP($A112,'Change in Proportion Calc'!$A$5:$A$311,'Change in Proportion Calc'!M$5:M$311,"n",0,1)</f>
        <v>-8947</v>
      </c>
      <c r="E112" s="234">
        <f>_xlfn.XLOOKUP($A112,'Change in Proportion Calc'!$A$5:$A$311,'Change in Proportion Calc'!N$5:N$311,"n",0,1)</f>
        <v>-8947</v>
      </c>
      <c r="F112" s="234">
        <f>_xlfn.XLOOKUP($A112,'Change in Proportion Calc'!$A$5:$A$311,'Change in Proportion Calc'!O$5:O$311,"n",0,1)</f>
        <v>-8947</v>
      </c>
      <c r="G112" s="234">
        <f>_xlfn.XLOOKUP($A112,'Change in Proportion Calc'!$A$5:$A$311,'Change in Proportion Calc'!P$5:P$311,"n",0,1)</f>
        <v>-6888</v>
      </c>
      <c r="H112" s="54"/>
      <c r="I112" s="69">
        <v>-2507</v>
      </c>
      <c r="J112" s="69">
        <v>-2507</v>
      </c>
      <c r="K112" s="69">
        <v>-2507</v>
      </c>
      <c r="L112" s="69">
        <v>-2507</v>
      </c>
      <c r="M112" s="69">
        <v>-2333</v>
      </c>
      <c r="N112" s="54"/>
      <c r="O112" s="69">
        <v>-157</v>
      </c>
      <c r="P112" s="69">
        <v>-157</v>
      </c>
      <c r="Q112" s="69">
        <v>-157</v>
      </c>
      <c r="R112" s="69">
        <v>-138</v>
      </c>
      <c r="S112" s="69"/>
      <c r="T112" s="69">
        <v>9935</v>
      </c>
      <c r="U112" s="69">
        <v>9935</v>
      </c>
      <c r="V112" s="69">
        <v>8844</v>
      </c>
      <c r="W112" s="54"/>
      <c r="X112" s="69">
        <v>-28832</v>
      </c>
      <c r="Y112" s="69">
        <v>-28257</v>
      </c>
      <c r="Z112" s="54"/>
      <c r="AA112" s="108">
        <v>-19525</v>
      </c>
      <c r="AB112" s="54"/>
      <c r="AC112" s="108">
        <f>VLOOKUP(A112,'Change in Proportion Calc'!$A$5:$H$311,8,FALSE)+SUMIF($C$5:$AB$5,2026,C112:AB112)</f>
        <v>-50033</v>
      </c>
      <c r="AE112" s="107">
        <f t="shared" si="7"/>
        <v>18779</v>
      </c>
      <c r="AF112" s="107">
        <f t="shared" si="8"/>
        <v>81239</v>
      </c>
      <c r="AH112" s="107"/>
      <c r="AI112" s="108"/>
      <c r="AJ112" s="108"/>
      <c r="AK112" s="213">
        <f t="shared" si="5"/>
        <v>11118</v>
      </c>
      <c r="AL112" s="107">
        <f t="shared" si="6"/>
        <v>-29933</v>
      </c>
      <c r="AM112" s="107">
        <f t="shared" si="6"/>
        <v>-2767</v>
      </c>
      <c r="AN112" s="107">
        <f t="shared" si="6"/>
        <v>-11592</v>
      </c>
      <c r="AO112" s="107">
        <f t="shared" si="6"/>
        <v>-11280</v>
      </c>
      <c r="AP112" s="107">
        <f t="shared" si="6"/>
        <v>-6888</v>
      </c>
    </row>
    <row r="113" spans="1:42">
      <c r="A113" s="53">
        <v>27083</v>
      </c>
      <c r="B113" s="54" t="s">
        <v>102</v>
      </c>
      <c r="C113" s="234">
        <f>_xlfn.XLOOKUP($A113,'Change in Proportion Calc'!$A$5:$A$311,'Change in Proportion Calc'!L$5:L$311,"n",0,1)</f>
        <v>32601</v>
      </c>
      <c r="D113" s="234">
        <f>_xlfn.XLOOKUP($A113,'Change in Proportion Calc'!$A$5:$A$311,'Change in Proportion Calc'!M$5:M$311,"n",0,1)</f>
        <v>32601</v>
      </c>
      <c r="E113" s="234">
        <f>_xlfn.XLOOKUP($A113,'Change in Proportion Calc'!$A$5:$A$311,'Change in Proportion Calc'!N$5:N$311,"n",0,1)</f>
        <v>32601</v>
      </c>
      <c r="F113" s="234">
        <f>_xlfn.XLOOKUP($A113,'Change in Proportion Calc'!$A$5:$A$311,'Change in Proportion Calc'!O$5:O$311,"n",0,1)</f>
        <v>32601</v>
      </c>
      <c r="G113" s="234">
        <f>_xlfn.XLOOKUP($A113,'Change in Proportion Calc'!$A$5:$A$311,'Change in Proportion Calc'!P$5:P$311,"n",0,1)</f>
        <v>25103</v>
      </c>
      <c r="H113" s="54"/>
      <c r="I113" s="69">
        <v>-31620</v>
      </c>
      <c r="J113" s="69">
        <v>-31620</v>
      </c>
      <c r="K113" s="69">
        <v>-31620</v>
      </c>
      <c r="L113" s="69">
        <v>-31620</v>
      </c>
      <c r="M113" s="69">
        <v>-29406</v>
      </c>
      <c r="N113" s="54"/>
      <c r="O113" s="69">
        <v>-8798</v>
      </c>
      <c r="P113" s="69">
        <v>-8798</v>
      </c>
      <c r="Q113" s="69">
        <v>-8798</v>
      </c>
      <c r="R113" s="69">
        <v>-7656</v>
      </c>
      <c r="S113" s="69"/>
      <c r="T113" s="69">
        <v>1535</v>
      </c>
      <c r="U113" s="69">
        <v>1535</v>
      </c>
      <c r="V113" s="69">
        <v>1368</v>
      </c>
      <c r="W113" s="54"/>
      <c r="X113" s="69">
        <v>-11824</v>
      </c>
      <c r="Y113" s="69">
        <v>-11590</v>
      </c>
      <c r="Z113" s="54"/>
      <c r="AA113" s="108">
        <v>30127</v>
      </c>
      <c r="AB113" s="54"/>
      <c r="AC113" s="108">
        <f>VLOOKUP(A113,'Change in Proportion Calc'!$A$5:$H$311,8,FALSE)+SUMIF($C$5:$AB$5,2026,C113:AB113)</f>
        <v>12021</v>
      </c>
      <c r="AE113" s="107">
        <f t="shared" si="7"/>
        <v>158410</v>
      </c>
      <c r="AF113" s="107">
        <f t="shared" si="8"/>
        <v>161108</v>
      </c>
      <c r="AH113" s="107"/>
      <c r="AI113" s="108"/>
      <c r="AJ113" s="108"/>
      <c r="AK113" s="213">
        <f t="shared" si="5"/>
        <v>27083</v>
      </c>
      <c r="AL113" s="107">
        <f t="shared" si="6"/>
        <v>-17872</v>
      </c>
      <c r="AM113" s="107">
        <f t="shared" si="6"/>
        <v>-6449</v>
      </c>
      <c r="AN113" s="107">
        <f t="shared" si="6"/>
        <v>-6675</v>
      </c>
      <c r="AO113" s="107">
        <f t="shared" si="6"/>
        <v>3195</v>
      </c>
      <c r="AP113" s="107">
        <f t="shared" si="6"/>
        <v>25103</v>
      </c>
    </row>
    <row r="114" spans="1:42">
      <c r="A114" s="51">
        <v>7021</v>
      </c>
      <c r="B114" s="55" t="s">
        <v>103</v>
      </c>
      <c r="C114" s="234">
        <f>_xlfn.XLOOKUP($A114,'Change in Proportion Calc'!$A$5:$A$311,'Change in Proportion Calc'!L$5:L$311,"n",0,1)</f>
        <v>194763</v>
      </c>
      <c r="D114" s="234">
        <f>_xlfn.XLOOKUP($A114,'Change in Proportion Calc'!$A$5:$A$311,'Change in Proportion Calc'!M$5:M$311,"n",0,1)</f>
        <v>194763</v>
      </c>
      <c r="E114" s="234">
        <f>_xlfn.XLOOKUP($A114,'Change in Proportion Calc'!$A$5:$A$311,'Change in Proportion Calc'!N$5:N$311,"n",0,1)</f>
        <v>194763</v>
      </c>
      <c r="F114" s="234">
        <f>_xlfn.XLOOKUP($A114,'Change in Proportion Calc'!$A$5:$A$311,'Change in Proportion Calc'!O$5:O$311,"n",0,1)</f>
        <v>194763</v>
      </c>
      <c r="G114" s="234">
        <f>_xlfn.XLOOKUP($A114,'Change in Proportion Calc'!$A$5:$A$311,'Change in Proportion Calc'!P$5:P$311,"n",0,1)</f>
        <v>149967</v>
      </c>
      <c r="H114" s="54"/>
      <c r="I114" s="69">
        <v>-220605</v>
      </c>
      <c r="J114" s="69">
        <v>-220605</v>
      </c>
      <c r="K114" s="69">
        <v>-220605</v>
      </c>
      <c r="L114" s="69">
        <v>-220605</v>
      </c>
      <c r="M114" s="69">
        <v>-205163</v>
      </c>
      <c r="N114" s="54"/>
      <c r="O114" s="69">
        <v>-95698</v>
      </c>
      <c r="P114" s="69">
        <v>-95698</v>
      </c>
      <c r="Q114" s="69">
        <v>-95698</v>
      </c>
      <c r="R114" s="69">
        <v>-83255</v>
      </c>
      <c r="S114" s="69"/>
      <c r="T114" s="69">
        <v>-247750</v>
      </c>
      <c r="U114" s="69">
        <v>-247750</v>
      </c>
      <c r="V114" s="69">
        <v>-220497</v>
      </c>
      <c r="W114" s="54"/>
      <c r="X114" s="69">
        <v>278442</v>
      </c>
      <c r="Y114" s="69">
        <v>272872</v>
      </c>
      <c r="Z114" s="54"/>
      <c r="AA114" s="108">
        <v>572903</v>
      </c>
      <c r="AB114" s="54"/>
      <c r="AC114" s="108">
        <f>VLOOKUP(A114,'Change in Proportion Calc'!$A$5:$H$311,8,FALSE)+SUMIF($C$5:$AB$5,2026,C114:AB114)</f>
        <v>482055</v>
      </c>
      <c r="AE114" s="107">
        <f t="shared" si="7"/>
        <v>1201891</v>
      </c>
      <c r="AF114" s="107">
        <f t="shared" si="8"/>
        <v>1609876</v>
      </c>
      <c r="AH114" s="107"/>
      <c r="AI114" s="108"/>
      <c r="AJ114" s="108"/>
      <c r="AK114" s="213">
        <f t="shared" si="5"/>
        <v>7021</v>
      </c>
      <c r="AL114" s="107">
        <f t="shared" si="6"/>
        <v>-96418</v>
      </c>
      <c r="AM114" s="107">
        <f t="shared" si="6"/>
        <v>-342037</v>
      </c>
      <c r="AN114" s="107">
        <f t="shared" si="6"/>
        <v>-109097</v>
      </c>
      <c r="AO114" s="107">
        <f t="shared" si="6"/>
        <v>-10400</v>
      </c>
      <c r="AP114" s="107">
        <f t="shared" si="6"/>
        <v>149967</v>
      </c>
    </row>
    <row r="115" spans="1:42">
      <c r="A115" s="53">
        <v>4140</v>
      </c>
      <c r="B115" s="54" t="s">
        <v>104</v>
      </c>
      <c r="C115" s="234">
        <f>_xlfn.XLOOKUP($A115,'Change in Proportion Calc'!$A$5:$A$311,'Change in Proportion Calc'!L$5:L$311,"n",0,1)</f>
        <v>-3164</v>
      </c>
      <c r="D115" s="234">
        <f>_xlfn.XLOOKUP($A115,'Change in Proportion Calc'!$A$5:$A$311,'Change in Proportion Calc'!M$5:M$311,"n",0,1)</f>
        <v>-3164</v>
      </c>
      <c r="E115" s="234">
        <f>_xlfn.XLOOKUP($A115,'Change in Proportion Calc'!$A$5:$A$311,'Change in Proportion Calc'!N$5:N$311,"n",0,1)</f>
        <v>-3164</v>
      </c>
      <c r="F115" s="234">
        <f>_xlfn.XLOOKUP($A115,'Change in Proportion Calc'!$A$5:$A$311,'Change in Proportion Calc'!O$5:O$311,"n",0,1)</f>
        <v>-3164</v>
      </c>
      <c r="G115" s="234">
        <f>_xlfn.XLOOKUP($A115,'Change in Proportion Calc'!$A$5:$A$311,'Change in Proportion Calc'!P$5:P$311,"n",0,1)</f>
        <v>-2435</v>
      </c>
      <c r="H115" s="54"/>
      <c r="I115" s="69">
        <v>-4853</v>
      </c>
      <c r="J115" s="69">
        <v>-4853</v>
      </c>
      <c r="K115" s="69">
        <v>-4853</v>
      </c>
      <c r="L115" s="69">
        <v>-4853</v>
      </c>
      <c r="M115" s="69">
        <v>-4514</v>
      </c>
      <c r="N115" s="54"/>
      <c r="O115" s="69">
        <v>10952</v>
      </c>
      <c r="P115" s="69">
        <v>10952</v>
      </c>
      <c r="Q115" s="69">
        <v>10952</v>
      </c>
      <c r="R115" s="69">
        <v>9530</v>
      </c>
      <c r="S115" s="69"/>
      <c r="T115" s="69">
        <v>-6762</v>
      </c>
      <c r="U115" s="69">
        <v>-6762</v>
      </c>
      <c r="V115" s="69">
        <v>-6016</v>
      </c>
      <c r="W115" s="54"/>
      <c r="X115" s="69">
        <v>4859</v>
      </c>
      <c r="Y115" s="69">
        <v>4764</v>
      </c>
      <c r="Z115" s="54"/>
      <c r="AA115" s="108">
        <v>5468</v>
      </c>
      <c r="AB115" s="54"/>
      <c r="AC115" s="108">
        <f>VLOOKUP(A115,'Change in Proportion Calc'!$A$5:$H$311,8,FALSE)+SUMIF($C$5:$AB$5,2026,C115:AB115)</f>
        <v>6500</v>
      </c>
      <c r="AE115" s="107">
        <f t="shared" si="7"/>
        <v>36198</v>
      </c>
      <c r="AF115" s="107">
        <f t="shared" si="8"/>
        <v>46942</v>
      </c>
      <c r="AH115" s="107"/>
      <c r="AI115" s="108"/>
      <c r="AJ115" s="108"/>
      <c r="AK115" s="213">
        <f t="shared" si="5"/>
        <v>4140</v>
      </c>
      <c r="AL115" s="107">
        <f t="shared" si="6"/>
        <v>937</v>
      </c>
      <c r="AM115" s="107">
        <f t="shared" si="6"/>
        <v>-3081</v>
      </c>
      <c r="AN115" s="107">
        <f t="shared" si="6"/>
        <v>1513</v>
      </c>
      <c r="AO115" s="107">
        <f t="shared" si="6"/>
        <v>-7678</v>
      </c>
      <c r="AP115" s="107">
        <f t="shared" si="6"/>
        <v>-2435</v>
      </c>
    </row>
    <row r="116" spans="1:42">
      <c r="A116" s="51">
        <v>13041</v>
      </c>
      <c r="B116" s="55" t="s">
        <v>105</v>
      </c>
      <c r="C116" s="234">
        <f>_xlfn.XLOOKUP($A116,'Change in Proportion Calc'!$A$5:$A$311,'Change in Proportion Calc'!L$5:L$311,"n",0,1)</f>
        <v>-469851</v>
      </c>
      <c r="D116" s="234">
        <f>_xlfn.XLOOKUP($A116,'Change in Proportion Calc'!$A$5:$A$311,'Change in Proportion Calc'!M$5:M$311,"n",0,1)</f>
        <v>-469851</v>
      </c>
      <c r="E116" s="234">
        <f>_xlfn.XLOOKUP($A116,'Change in Proportion Calc'!$A$5:$A$311,'Change in Proportion Calc'!N$5:N$311,"n",0,1)</f>
        <v>-469851</v>
      </c>
      <c r="F116" s="234">
        <f>_xlfn.XLOOKUP($A116,'Change in Proportion Calc'!$A$5:$A$311,'Change in Proportion Calc'!O$5:O$311,"n",0,1)</f>
        <v>-469851</v>
      </c>
      <c r="G116" s="234">
        <f>_xlfn.XLOOKUP($A116,'Change in Proportion Calc'!$A$5:$A$311,'Change in Proportion Calc'!P$5:P$311,"n",0,1)</f>
        <v>-361788</v>
      </c>
      <c r="H116" s="54"/>
      <c r="I116" s="69">
        <v>-134723</v>
      </c>
      <c r="J116" s="69">
        <v>-134723</v>
      </c>
      <c r="K116" s="69">
        <v>-134723</v>
      </c>
      <c r="L116" s="69">
        <v>-134723</v>
      </c>
      <c r="M116" s="69">
        <v>-125292</v>
      </c>
      <c r="N116" s="54"/>
      <c r="O116" s="69">
        <v>335714</v>
      </c>
      <c r="P116" s="69">
        <v>335714</v>
      </c>
      <c r="Q116" s="69">
        <v>335714</v>
      </c>
      <c r="R116" s="69">
        <v>292073</v>
      </c>
      <c r="S116" s="69"/>
      <c r="T116" s="69">
        <v>-341528</v>
      </c>
      <c r="U116" s="69">
        <v>-341528</v>
      </c>
      <c r="V116" s="69">
        <v>-303962</v>
      </c>
      <c r="W116" s="54"/>
      <c r="X116" s="69">
        <v>-563767</v>
      </c>
      <c r="Y116" s="69">
        <v>-552494</v>
      </c>
      <c r="Z116" s="54"/>
      <c r="AA116" s="108">
        <v>-141040</v>
      </c>
      <c r="AB116" s="54"/>
      <c r="AC116" s="108">
        <f>VLOOKUP(A116,'Change in Proportion Calc'!$A$5:$H$311,8,FALSE)+SUMIF($C$5:$AB$5,2026,C116:AB116)</f>
        <v>-1315195</v>
      </c>
      <c r="AE116" s="107">
        <f t="shared" si="7"/>
        <v>963501</v>
      </c>
      <c r="AF116" s="107">
        <f t="shared" si="8"/>
        <v>3968637</v>
      </c>
      <c r="AH116" s="107"/>
      <c r="AI116" s="108"/>
      <c r="AJ116" s="108"/>
      <c r="AK116" s="213">
        <f t="shared" si="5"/>
        <v>13041</v>
      </c>
      <c r="AL116" s="107">
        <f t="shared" si="6"/>
        <v>-1162882</v>
      </c>
      <c r="AM116" s="107">
        <f t="shared" si="6"/>
        <v>-572822</v>
      </c>
      <c r="AN116" s="107">
        <f t="shared" si="6"/>
        <v>-312501</v>
      </c>
      <c r="AO116" s="107">
        <f t="shared" si="6"/>
        <v>-595143</v>
      </c>
      <c r="AP116" s="107">
        <f t="shared" si="6"/>
        <v>-361788</v>
      </c>
    </row>
    <row r="117" spans="1:42">
      <c r="A117" s="53">
        <v>2339</v>
      </c>
      <c r="B117" s="54" t="s">
        <v>106</v>
      </c>
      <c r="C117" s="234">
        <f>_xlfn.XLOOKUP($A117,'Change in Proportion Calc'!$A$5:$A$311,'Change in Proportion Calc'!L$5:L$311,"n",0,1)</f>
        <v>2236</v>
      </c>
      <c r="D117" s="234">
        <f>_xlfn.XLOOKUP($A117,'Change in Proportion Calc'!$A$5:$A$311,'Change in Proportion Calc'!M$5:M$311,"n",0,1)</f>
        <v>2236</v>
      </c>
      <c r="E117" s="234">
        <f>_xlfn.XLOOKUP($A117,'Change in Proportion Calc'!$A$5:$A$311,'Change in Proportion Calc'!N$5:N$311,"n",0,1)</f>
        <v>2236</v>
      </c>
      <c r="F117" s="234">
        <f>_xlfn.XLOOKUP($A117,'Change in Proportion Calc'!$A$5:$A$311,'Change in Proportion Calc'!O$5:O$311,"n",0,1)</f>
        <v>2236</v>
      </c>
      <c r="G117" s="234">
        <f>_xlfn.XLOOKUP($A117,'Change in Proportion Calc'!$A$5:$A$311,'Change in Proportion Calc'!P$5:P$311,"n",0,1)</f>
        <v>1724</v>
      </c>
      <c r="H117" s="54"/>
      <c r="I117" s="69">
        <v>-10960</v>
      </c>
      <c r="J117" s="69">
        <v>-10960</v>
      </c>
      <c r="K117" s="69">
        <v>-10960</v>
      </c>
      <c r="L117" s="69">
        <v>-10960</v>
      </c>
      <c r="M117" s="69">
        <v>-10192</v>
      </c>
      <c r="N117" s="54"/>
      <c r="O117" s="69">
        <v>29721</v>
      </c>
      <c r="P117" s="69">
        <v>29721</v>
      </c>
      <c r="Q117" s="69">
        <v>29721</v>
      </c>
      <c r="R117" s="69">
        <v>25855</v>
      </c>
      <c r="S117" s="69"/>
      <c r="T117" s="69">
        <v>-21633</v>
      </c>
      <c r="U117" s="69">
        <v>-21633</v>
      </c>
      <c r="V117" s="69">
        <v>-19253</v>
      </c>
      <c r="W117" s="54"/>
      <c r="X117" s="69">
        <v>7775</v>
      </c>
      <c r="Y117" s="69">
        <v>7619</v>
      </c>
      <c r="Z117" s="54"/>
      <c r="AA117" s="108">
        <v>-756</v>
      </c>
      <c r="AB117" s="54"/>
      <c r="AC117" s="108">
        <f>VLOOKUP(A117,'Change in Proportion Calc'!$A$5:$H$311,8,FALSE)+SUMIF($C$5:$AB$5,2026,C117:AB117)</f>
        <v>6383</v>
      </c>
      <c r="AE117" s="107">
        <f t="shared" si="7"/>
        <v>103584</v>
      </c>
      <c r="AF117" s="107">
        <f t="shared" si="8"/>
        <v>83958</v>
      </c>
      <c r="AH117" s="107"/>
      <c r="AI117" s="108"/>
      <c r="AJ117" s="108"/>
      <c r="AK117" s="213">
        <f t="shared" si="5"/>
        <v>2339</v>
      </c>
      <c r="AL117" s="107">
        <f t="shared" si="6"/>
        <v>6983</v>
      </c>
      <c r="AM117" s="107">
        <f t="shared" si="6"/>
        <v>1744</v>
      </c>
      <c r="AN117" s="107">
        <f t="shared" si="6"/>
        <v>17131</v>
      </c>
      <c r="AO117" s="107">
        <f t="shared" si="6"/>
        <v>-7956</v>
      </c>
      <c r="AP117" s="107">
        <f t="shared" si="6"/>
        <v>1724</v>
      </c>
    </row>
    <row r="118" spans="1:42">
      <c r="A118" s="51">
        <v>2362</v>
      </c>
      <c r="B118" s="55" t="s">
        <v>107</v>
      </c>
      <c r="C118" s="234">
        <f>_xlfn.XLOOKUP($A118,'Change in Proportion Calc'!$A$5:$A$311,'Change in Proportion Calc'!L$5:L$311,"n",0,1)</f>
        <v>21756</v>
      </c>
      <c r="D118" s="234">
        <f>_xlfn.XLOOKUP($A118,'Change in Proportion Calc'!$A$5:$A$311,'Change in Proportion Calc'!M$5:M$311,"n",0,1)</f>
        <v>21756</v>
      </c>
      <c r="E118" s="234">
        <f>_xlfn.XLOOKUP($A118,'Change in Proportion Calc'!$A$5:$A$311,'Change in Proportion Calc'!N$5:N$311,"n",0,1)</f>
        <v>21756</v>
      </c>
      <c r="F118" s="234">
        <f>_xlfn.XLOOKUP($A118,'Change in Proportion Calc'!$A$5:$A$311,'Change in Proportion Calc'!O$5:O$311,"n",0,1)</f>
        <v>21756</v>
      </c>
      <c r="G118" s="234">
        <f>_xlfn.XLOOKUP($A118,'Change in Proportion Calc'!$A$5:$A$311,'Change in Proportion Calc'!P$5:P$311,"n",0,1)</f>
        <v>16754</v>
      </c>
      <c r="H118" s="54"/>
      <c r="I118" s="69">
        <v>4355</v>
      </c>
      <c r="J118" s="69">
        <v>4355</v>
      </c>
      <c r="K118" s="69">
        <v>4355</v>
      </c>
      <c r="L118" s="69">
        <v>4355</v>
      </c>
      <c r="M118" s="69">
        <v>4053</v>
      </c>
      <c r="N118" s="54"/>
      <c r="O118" s="69">
        <v>-46574</v>
      </c>
      <c r="P118" s="69">
        <v>-46574</v>
      </c>
      <c r="Q118" s="69">
        <v>-46574</v>
      </c>
      <c r="R118" s="69">
        <v>-40517</v>
      </c>
      <c r="S118" s="69"/>
      <c r="T118" s="69">
        <v>15416</v>
      </c>
      <c r="U118" s="69">
        <v>15416</v>
      </c>
      <c r="V118" s="69">
        <v>13718</v>
      </c>
      <c r="W118" s="54"/>
      <c r="X118" s="69">
        <v>-101723</v>
      </c>
      <c r="Y118" s="69">
        <v>-99687</v>
      </c>
      <c r="Z118" s="54"/>
      <c r="AA118" s="108">
        <v>-13971</v>
      </c>
      <c r="AB118" s="54"/>
      <c r="AC118" s="108">
        <f>VLOOKUP(A118,'Change in Proportion Calc'!$A$5:$H$311,8,FALSE)+SUMIF($C$5:$AB$5,2026,C118:AB118)</f>
        <v>-120741</v>
      </c>
      <c r="AE118" s="107">
        <f t="shared" si="7"/>
        <v>150030</v>
      </c>
      <c r="AF118" s="107">
        <f t="shared" si="8"/>
        <v>233352</v>
      </c>
      <c r="AH118" s="107"/>
      <c r="AI118" s="108"/>
      <c r="AJ118" s="108"/>
      <c r="AK118" s="213">
        <f t="shared" si="5"/>
        <v>2362</v>
      </c>
      <c r="AL118" s="107">
        <f t="shared" si="6"/>
        <v>-104734</v>
      </c>
      <c r="AM118" s="107">
        <f t="shared" si="6"/>
        <v>-6745</v>
      </c>
      <c r="AN118" s="107">
        <f t="shared" si="6"/>
        <v>-14406</v>
      </c>
      <c r="AO118" s="107">
        <f t="shared" si="6"/>
        <v>25809</v>
      </c>
      <c r="AP118" s="107">
        <f t="shared" si="6"/>
        <v>16754</v>
      </c>
    </row>
    <row r="119" spans="1:42">
      <c r="A119" s="53">
        <v>5013</v>
      </c>
      <c r="B119" s="54" t="s">
        <v>108</v>
      </c>
      <c r="C119" s="234">
        <f>_xlfn.XLOOKUP($A119,'Change in Proportion Calc'!$A$5:$A$311,'Change in Proportion Calc'!L$5:L$311,"n",0,1)</f>
        <v>-5639</v>
      </c>
      <c r="D119" s="234">
        <f>_xlfn.XLOOKUP($A119,'Change in Proportion Calc'!$A$5:$A$311,'Change in Proportion Calc'!M$5:M$311,"n",0,1)</f>
        <v>-5639</v>
      </c>
      <c r="E119" s="234">
        <f>_xlfn.XLOOKUP($A119,'Change in Proportion Calc'!$A$5:$A$311,'Change in Proportion Calc'!N$5:N$311,"n",0,1)</f>
        <v>-5639</v>
      </c>
      <c r="F119" s="234">
        <f>_xlfn.XLOOKUP($A119,'Change in Proportion Calc'!$A$5:$A$311,'Change in Proportion Calc'!O$5:O$311,"n",0,1)</f>
        <v>-5639</v>
      </c>
      <c r="G119" s="234">
        <f>_xlfn.XLOOKUP($A119,'Change in Proportion Calc'!$A$5:$A$311,'Change in Proportion Calc'!P$5:P$311,"n",0,1)</f>
        <v>-4341</v>
      </c>
      <c r="H119" s="54"/>
      <c r="I119" s="69">
        <v>-9541</v>
      </c>
      <c r="J119" s="69">
        <v>-9541</v>
      </c>
      <c r="K119" s="69">
        <v>-9541</v>
      </c>
      <c r="L119" s="69">
        <v>-9541</v>
      </c>
      <c r="M119" s="69">
        <v>-8874</v>
      </c>
      <c r="N119" s="54"/>
      <c r="O119" s="69">
        <v>7641</v>
      </c>
      <c r="P119" s="69">
        <v>7641</v>
      </c>
      <c r="Q119" s="69">
        <v>7641</v>
      </c>
      <c r="R119" s="69">
        <v>6646</v>
      </c>
      <c r="S119" s="69"/>
      <c r="T119" s="69">
        <v>-3192</v>
      </c>
      <c r="U119" s="69">
        <v>-3192</v>
      </c>
      <c r="V119" s="69">
        <v>-2840</v>
      </c>
      <c r="W119" s="54"/>
      <c r="X119" s="69">
        <v>7370</v>
      </c>
      <c r="Y119" s="69">
        <v>7223</v>
      </c>
      <c r="Z119" s="54"/>
      <c r="AA119" s="108">
        <v>2608</v>
      </c>
      <c r="AB119" s="54"/>
      <c r="AC119" s="108">
        <f>VLOOKUP(A119,'Change in Proportion Calc'!$A$5:$H$311,8,FALSE)+SUMIF($C$5:$AB$5,2026,C119:AB119)</f>
        <v>-753</v>
      </c>
      <c r="AE119" s="107">
        <f t="shared" si="7"/>
        <v>29151</v>
      </c>
      <c r="AF119" s="107">
        <f t="shared" si="8"/>
        <v>70426</v>
      </c>
      <c r="AH119" s="107"/>
      <c r="AI119" s="108"/>
      <c r="AJ119" s="108"/>
      <c r="AK119" s="213">
        <f t="shared" si="5"/>
        <v>5013</v>
      </c>
      <c r="AL119" s="107">
        <f t="shared" si="6"/>
        <v>-3508</v>
      </c>
      <c r="AM119" s="107">
        <f t="shared" si="6"/>
        <v>-10379</v>
      </c>
      <c r="AN119" s="107">
        <f t="shared" si="6"/>
        <v>-8534</v>
      </c>
      <c r="AO119" s="107">
        <f t="shared" si="6"/>
        <v>-14513</v>
      </c>
      <c r="AP119" s="107">
        <f t="shared" si="6"/>
        <v>-4341</v>
      </c>
    </row>
    <row r="120" spans="1:42">
      <c r="A120" s="51">
        <v>3110</v>
      </c>
      <c r="B120" s="55" t="s">
        <v>109</v>
      </c>
      <c r="C120" s="234">
        <f>_xlfn.XLOOKUP($A120,'Change in Proportion Calc'!$A$5:$A$311,'Change in Proportion Calc'!L$5:L$311,"n",0,1)</f>
        <v>26170</v>
      </c>
      <c r="D120" s="234">
        <f>_xlfn.XLOOKUP($A120,'Change in Proportion Calc'!$A$5:$A$311,'Change in Proportion Calc'!M$5:M$311,"n",0,1)</f>
        <v>26170</v>
      </c>
      <c r="E120" s="234">
        <f>_xlfn.XLOOKUP($A120,'Change in Proportion Calc'!$A$5:$A$311,'Change in Proportion Calc'!N$5:N$311,"n",0,1)</f>
        <v>26170</v>
      </c>
      <c r="F120" s="234">
        <f>_xlfn.XLOOKUP($A120,'Change in Proportion Calc'!$A$5:$A$311,'Change in Proportion Calc'!O$5:O$311,"n",0,1)</f>
        <v>26170</v>
      </c>
      <c r="G120" s="234">
        <f>_xlfn.XLOOKUP($A120,'Change in Proportion Calc'!$A$5:$A$311,'Change in Proportion Calc'!P$5:P$311,"n",0,1)</f>
        <v>20152</v>
      </c>
      <c r="H120" s="54"/>
      <c r="I120" s="69">
        <v>14038</v>
      </c>
      <c r="J120" s="69">
        <v>14038</v>
      </c>
      <c r="K120" s="69">
        <v>14038</v>
      </c>
      <c r="L120" s="69">
        <v>14038</v>
      </c>
      <c r="M120" s="69">
        <v>13057</v>
      </c>
      <c r="N120" s="54"/>
      <c r="O120" s="69">
        <v>-119275</v>
      </c>
      <c r="P120" s="69">
        <v>-119275</v>
      </c>
      <c r="Q120" s="69">
        <v>-119275</v>
      </c>
      <c r="R120" s="69">
        <v>-103767</v>
      </c>
      <c r="S120" s="69"/>
      <c r="T120" s="69">
        <v>-54268</v>
      </c>
      <c r="U120" s="69">
        <v>-54268</v>
      </c>
      <c r="V120" s="69">
        <v>-48300</v>
      </c>
      <c r="W120" s="54"/>
      <c r="X120" s="69">
        <v>3483</v>
      </c>
      <c r="Y120" s="69">
        <v>3411</v>
      </c>
      <c r="Z120" s="54"/>
      <c r="AA120" s="108">
        <v>-58824</v>
      </c>
      <c r="AB120" s="54"/>
      <c r="AC120" s="108">
        <f>VLOOKUP(A120,'Change in Proportion Calc'!$A$5:$H$311,8,FALSE)+SUMIF($C$5:$AB$5,2026,C120:AB120)</f>
        <v>-188676</v>
      </c>
      <c r="AE120" s="107">
        <f t="shared" si="7"/>
        <v>183414</v>
      </c>
      <c r="AF120" s="107">
        <f t="shared" si="8"/>
        <v>444885</v>
      </c>
      <c r="AH120" s="107"/>
      <c r="AI120" s="108"/>
      <c r="AJ120" s="108"/>
      <c r="AK120" s="213">
        <f t="shared" si="5"/>
        <v>3110</v>
      </c>
      <c r="AL120" s="107">
        <f t="shared" si="6"/>
        <v>-129924</v>
      </c>
      <c r="AM120" s="107">
        <f t="shared" si="6"/>
        <v>-127367</v>
      </c>
      <c r="AN120" s="107">
        <f t="shared" si="6"/>
        <v>-63559</v>
      </c>
      <c r="AO120" s="107">
        <f t="shared" si="6"/>
        <v>39227</v>
      </c>
      <c r="AP120" s="107">
        <f t="shared" si="6"/>
        <v>20152</v>
      </c>
    </row>
    <row r="121" spans="1:42">
      <c r="A121" s="53">
        <v>14044</v>
      </c>
      <c r="B121" s="54" t="s">
        <v>110</v>
      </c>
      <c r="C121" s="234">
        <f>_xlfn.XLOOKUP($A121,'Change in Proportion Calc'!$A$5:$A$311,'Change in Proportion Calc'!L$5:L$311,"n",0,1)</f>
        <v>-313057</v>
      </c>
      <c r="D121" s="234">
        <f>_xlfn.XLOOKUP($A121,'Change in Proportion Calc'!$A$5:$A$311,'Change in Proportion Calc'!M$5:M$311,"n",0,1)</f>
        <v>-313057</v>
      </c>
      <c r="E121" s="234">
        <f>_xlfn.XLOOKUP($A121,'Change in Proportion Calc'!$A$5:$A$311,'Change in Proportion Calc'!N$5:N$311,"n",0,1)</f>
        <v>-313057</v>
      </c>
      <c r="F121" s="234">
        <f>_xlfn.XLOOKUP($A121,'Change in Proportion Calc'!$A$5:$A$311,'Change in Proportion Calc'!O$5:O$311,"n",0,1)</f>
        <v>-313057</v>
      </c>
      <c r="G121" s="234">
        <f>_xlfn.XLOOKUP($A121,'Change in Proportion Calc'!$A$5:$A$311,'Change in Proportion Calc'!P$5:P$311,"n",0,1)</f>
        <v>-241054</v>
      </c>
      <c r="H121" s="54"/>
      <c r="I121" s="69">
        <v>21645</v>
      </c>
      <c r="J121" s="69">
        <v>21645</v>
      </c>
      <c r="K121" s="69">
        <v>21645</v>
      </c>
      <c r="L121" s="69">
        <v>21645</v>
      </c>
      <c r="M121" s="69">
        <v>20132</v>
      </c>
      <c r="N121" s="54"/>
      <c r="O121" s="69">
        <v>225724</v>
      </c>
      <c r="P121" s="69">
        <v>225724</v>
      </c>
      <c r="Q121" s="69">
        <v>225724</v>
      </c>
      <c r="R121" s="69">
        <v>196382</v>
      </c>
      <c r="S121" s="69"/>
      <c r="T121" s="69">
        <v>-179449</v>
      </c>
      <c r="U121" s="69">
        <v>-179449</v>
      </c>
      <c r="V121" s="69">
        <v>-159708</v>
      </c>
      <c r="W121" s="54"/>
      <c r="X121" s="69">
        <v>-69570</v>
      </c>
      <c r="Y121" s="69">
        <v>-68178</v>
      </c>
      <c r="Z121" s="54"/>
      <c r="AA121" s="108">
        <v>161402</v>
      </c>
      <c r="AB121" s="54"/>
      <c r="AC121" s="108">
        <f>VLOOKUP(A121,'Change in Proportion Calc'!$A$5:$H$311,8,FALSE)+SUMIF($C$5:$AB$5,2026,C121:AB121)</f>
        <v>-153305</v>
      </c>
      <c r="AE121" s="107">
        <f t="shared" si="7"/>
        <v>732897</v>
      </c>
      <c r="AF121" s="107">
        <f t="shared" si="8"/>
        <v>1900617</v>
      </c>
      <c r="AH121" s="107"/>
      <c r="AI121" s="108"/>
      <c r="AJ121" s="108"/>
      <c r="AK121" s="213">
        <f t="shared" si="5"/>
        <v>14044</v>
      </c>
      <c r="AL121" s="107">
        <f t="shared" si="6"/>
        <v>-313315</v>
      </c>
      <c r="AM121" s="107">
        <f t="shared" si="6"/>
        <v>-225396</v>
      </c>
      <c r="AN121" s="107">
        <f t="shared" si="6"/>
        <v>-95030</v>
      </c>
      <c r="AO121" s="107">
        <f t="shared" si="6"/>
        <v>-292925</v>
      </c>
      <c r="AP121" s="107">
        <f t="shared" si="6"/>
        <v>-241054</v>
      </c>
    </row>
    <row r="122" spans="1:42">
      <c r="A122" s="51">
        <v>4009</v>
      </c>
      <c r="B122" s="55" t="s">
        <v>111</v>
      </c>
      <c r="C122" s="234">
        <f>_xlfn.XLOOKUP($A122,'Change in Proportion Calc'!$A$5:$A$311,'Change in Proportion Calc'!L$5:L$311,"n",0,1)</f>
        <v>-8872</v>
      </c>
      <c r="D122" s="234">
        <f>_xlfn.XLOOKUP($A122,'Change in Proportion Calc'!$A$5:$A$311,'Change in Proportion Calc'!M$5:M$311,"n",0,1)</f>
        <v>-8872</v>
      </c>
      <c r="E122" s="234">
        <f>_xlfn.XLOOKUP($A122,'Change in Proportion Calc'!$A$5:$A$311,'Change in Proportion Calc'!N$5:N$311,"n",0,1)</f>
        <v>-8872</v>
      </c>
      <c r="F122" s="234">
        <f>_xlfn.XLOOKUP($A122,'Change in Proportion Calc'!$A$5:$A$311,'Change in Proportion Calc'!O$5:O$311,"n",0,1)</f>
        <v>-8872</v>
      </c>
      <c r="G122" s="234">
        <f>_xlfn.XLOOKUP($A122,'Change in Proportion Calc'!$A$5:$A$311,'Change in Proportion Calc'!P$5:P$311,"n",0,1)</f>
        <v>-6829</v>
      </c>
      <c r="H122" s="54"/>
      <c r="I122" s="69">
        <v>41632</v>
      </c>
      <c r="J122" s="69">
        <v>41632</v>
      </c>
      <c r="K122" s="69">
        <v>41632</v>
      </c>
      <c r="L122" s="69">
        <v>41632</v>
      </c>
      <c r="M122" s="69">
        <v>38720</v>
      </c>
      <c r="N122" s="54"/>
      <c r="O122" s="69">
        <v>-10131</v>
      </c>
      <c r="P122" s="69">
        <v>-10131</v>
      </c>
      <c r="Q122" s="69">
        <v>-10131</v>
      </c>
      <c r="R122" s="69">
        <v>-8812</v>
      </c>
      <c r="S122" s="69"/>
      <c r="T122" s="69">
        <v>-37702</v>
      </c>
      <c r="U122" s="69">
        <v>-37702</v>
      </c>
      <c r="V122" s="69">
        <v>-33557</v>
      </c>
      <c r="W122" s="54"/>
      <c r="X122" s="69">
        <v>-17818</v>
      </c>
      <c r="Y122" s="69">
        <v>-17460</v>
      </c>
      <c r="Z122" s="54"/>
      <c r="AA122" s="108">
        <v>-21796</v>
      </c>
      <c r="AB122" s="54"/>
      <c r="AC122" s="108">
        <f>VLOOKUP(A122,'Change in Proportion Calc'!$A$5:$H$311,8,FALSE)+SUMIF($C$5:$AB$5,2026,C122:AB122)</f>
        <v>-54687</v>
      </c>
      <c r="AE122" s="107">
        <f t="shared" si="7"/>
        <v>163616</v>
      </c>
      <c r="AF122" s="107">
        <f t="shared" si="8"/>
        <v>160110</v>
      </c>
      <c r="AH122" s="107"/>
      <c r="AI122" s="108"/>
      <c r="AJ122" s="108"/>
      <c r="AK122" s="213">
        <f t="shared" si="5"/>
        <v>4009</v>
      </c>
      <c r="AL122" s="107">
        <f t="shared" si="6"/>
        <v>-32533</v>
      </c>
      <c r="AM122" s="107">
        <f t="shared" si="6"/>
        <v>-10928</v>
      </c>
      <c r="AN122" s="107">
        <f t="shared" si="6"/>
        <v>23948</v>
      </c>
      <c r="AO122" s="107">
        <f t="shared" si="6"/>
        <v>29848</v>
      </c>
      <c r="AP122" s="107">
        <f t="shared" si="6"/>
        <v>-6829</v>
      </c>
    </row>
    <row r="123" spans="1:42">
      <c r="A123" s="53">
        <v>7022</v>
      </c>
      <c r="B123" s="54" t="s">
        <v>112</v>
      </c>
      <c r="C123" s="234">
        <f>_xlfn.XLOOKUP($A123,'Change in Proportion Calc'!$A$5:$A$311,'Change in Proportion Calc'!L$5:L$311,"n",0,1)</f>
        <v>11541</v>
      </c>
      <c r="D123" s="234">
        <f>_xlfn.XLOOKUP($A123,'Change in Proportion Calc'!$A$5:$A$311,'Change in Proportion Calc'!M$5:M$311,"n",0,1)</f>
        <v>11541</v>
      </c>
      <c r="E123" s="234">
        <f>_xlfn.XLOOKUP($A123,'Change in Proportion Calc'!$A$5:$A$311,'Change in Proportion Calc'!N$5:N$311,"n",0,1)</f>
        <v>11541</v>
      </c>
      <c r="F123" s="234">
        <f>_xlfn.XLOOKUP($A123,'Change in Proportion Calc'!$A$5:$A$311,'Change in Proportion Calc'!O$5:O$311,"n",0,1)</f>
        <v>11541</v>
      </c>
      <c r="G123" s="234">
        <f>_xlfn.XLOOKUP($A123,'Change in Proportion Calc'!$A$5:$A$311,'Change in Proportion Calc'!P$5:P$311,"n",0,1)</f>
        <v>8887</v>
      </c>
      <c r="H123" s="54"/>
      <c r="I123" s="69">
        <v>-66956</v>
      </c>
      <c r="J123" s="69">
        <v>-66956</v>
      </c>
      <c r="K123" s="69">
        <v>-66956</v>
      </c>
      <c r="L123" s="69">
        <v>-66956</v>
      </c>
      <c r="M123" s="69">
        <v>-62268</v>
      </c>
      <c r="N123" s="54"/>
      <c r="O123" s="69">
        <v>87841</v>
      </c>
      <c r="P123" s="69">
        <v>87841</v>
      </c>
      <c r="Q123" s="69">
        <v>87841</v>
      </c>
      <c r="R123" s="69">
        <v>76420</v>
      </c>
      <c r="S123" s="69"/>
      <c r="T123" s="69">
        <v>99029</v>
      </c>
      <c r="U123" s="69">
        <v>99029</v>
      </c>
      <c r="V123" s="69">
        <v>88134</v>
      </c>
      <c r="W123" s="54"/>
      <c r="X123" s="69">
        <v>-18304</v>
      </c>
      <c r="Y123" s="69">
        <v>-17936</v>
      </c>
      <c r="Z123" s="54"/>
      <c r="AA123" s="108">
        <v>43340</v>
      </c>
      <c r="AB123" s="54"/>
      <c r="AC123" s="108">
        <f>VLOOKUP(A123,'Change in Proportion Calc'!$A$5:$H$311,8,FALSE)+SUMIF($C$5:$AB$5,2026,C123:AB123)</f>
        <v>156491</v>
      </c>
      <c r="AE123" s="107">
        <f t="shared" si="7"/>
        <v>494316</v>
      </c>
      <c r="AF123" s="107">
        <f t="shared" si="8"/>
        <v>281072</v>
      </c>
      <c r="AH123" s="107"/>
      <c r="AI123" s="108"/>
      <c r="AJ123" s="108"/>
      <c r="AK123" s="213">
        <f t="shared" si="5"/>
        <v>7022</v>
      </c>
      <c r="AL123" s="107">
        <f t="shared" ref="AL123:AP154" si="9">+SUMIF($C$5:$AB$5,AL$5,$C123:$AB123)</f>
        <v>113519</v>
      </c>
      <c r="AM123" s="107">
        <f t="shared" si="9"/>
        <v>120560</v>
      </c>
      <c r="AN123" s="107">
        <f t="shared" si="9"/>
        <v>21005</v>
      </c>
      <c r="AO123" s="107">
        <f t="shared" si="9"/>
        <v>-50727</v>
      </c>
      <c r="AP123" s="107">
        <f t="shared" si="9"/>
        <v>8887</v>
      </c>
    </row>
    <row r="124" spans="1:42">
      <c r="A124" s="51">
        <v>2430</v>
      </c>
      <c r="B124" s="55" t="s">
        <v>113</v>
      </c>
      <c r="C124" s="234">
        <f>_xlfn.XLOOKUP($A124,'Change in Proportion Calc'!$A$5:$A$311,'Change in Proportion Calc'!L$5:L$311,"n",0,1)</f>
        <v>-7540</v>
      </c>
      <c r="D124" s="234">
        <f>_xlfn.XLOOKUP($A124,'Change in Proportion Calc'!$A$5:$A$311,'Change in Proportion Calc'!M$5:M$311,"n",0,1)</f>
        <v>-7540</v>
      </c>
      <c r="E124" s="234">
        <f>_xlfn.XLOOKUP($A124,'Change in Proportion Calc'!$A$5:$A$311,'Change in Proportion Calc'!N$5:N$311,"n",0,1)</f>
        <v>-7540</v>
      </c>
      <c r="F124" s="234">
        <f>_xlfn.XLOOKUP($A124,'Change in Proportion Calc'!$A$5:$A$311,'Change in Proportion Calc'!O$5:O$311,"n",0,1)</f>
        <v>-7540</v>
      </c>
      <c r="G124" s="234">
        <f>_xlfn.XLOOKUP($A124,'Change in Proportion Calc'!$A$5:$A$311,'Change in Proportion Calc'!P$5:P$311,"n",0,1)</f>
        <v>-5808</v>
      </c>
      <c r="H124" s="54"/>
      <c r="I124" s="69">
        <v>-11560</v>
      </c>
      <c r="J124" s="69">
        <v>-11560</v>
      </c>
      <c r="K124" s="69">
        <v>-11560</v>
      </c>
      <c r="L124" s="69">
        <v>-11560</v>
      </c>
      <c r="M124" s="69">
        <v>-10752</v>
      </c>
      <c r="N124" s="54"/>
      <c r="O124" s="69">
        <v>-1000</v>
      </c>
      <c r="P124" s="69">
        <v>-1000</v>
      </c>
      <c r="Q124" s="69">
        <v>-1000</v>
      </c>
      <c r="R124" s="69">
        <v>-872</v>
      </c>
      <c r="S124" s="69"/>
      <c r="T124" s="69">
        <v>-1580</v>
      </c>
      <c r="U124" s="69">
        <v>-1580</v>
      </c>
      <c r="V124" s="69">
        <v>-1408</v>
      </c>
      <c r="W124" s="54"/>
      <c r="X124" s="69">
        <v>-7775</v>
      </c>
      <c r="Y124" s="69">
        <v>-7619</v>
      </c>
      <c r="Z124" s="54"/>
      <c r="AA124" s="108">
        <v>-41656</v>
      </c>
      <c r="AB124" s="54"/>
      <c r="AC124" s="108">
        <f>VLOOKUP(A124,'Change in Proportion Calc'!$A$5:$H$311,8,FALSE)+SUMIF($C$5:$AB$5,2026,C124:AB124)</f>
        <v>-71111</v>
      </c>
      <c r="AE124" s="107">
        <f t="shared" si="7"/>
        <v>0</v>
      </c>
      <c r="AF124" s="107">
        <f t="shared" si="8"/>
        <v>94879</v>
      </c>
      <c r="AH124" s="107"/>
      <c r="AI124" s="108"/>
      <c r="AJ124" s="108"/>
      <c r="AK124" s="213">
        <f t="shared" si="5"/>
        <v>2430</v>
      </c>
      <c r="AL124" s="107">
        <f t="shared" si="9"/>
        <v>-29299</v>
      </c>
      <c r="AM124" s="107">
        <f t="shared" si="9"/>
        <v>-21508</v>
      </c>
      <c r="AN124" s="107">
        <f t="shared" si="9"/>
        <v>-19972</v>
      </c>
      <c r="AO124" s="107">
        <f t="shared" si="9"/>
        <v>-18292</v>
      </c>
      <c r="AP124" s="107">
        <f t="shared" si="9"/>
        <v>-5808</v>
      </c>
    </row>
    <row r="125" spans="1:42">
      <c r="A125" s="53">
        <v>9150</v>
      </c>
      <c r="B125" s="54" t="s">
        <v>114</v>
      </c>
      <c r="C125" s="234">
        <f>_xlfn.XLOOKUP($A125,'Change in Proportion Calc'!$A$5:$A$311,'Change in Proportion Calc'!L$5:L$311,"n",0,1)</f>
        <v>-10588</v>
      </c>
      <c r="D125" s="234">
        <f>_xlfn.XLOOKUP($A125,'Change in Proportion Calc'!$A$5:$A$311,'Change in Proportion Calc'!M$5:M$311,"n",0,1)</f>
        <v>-10588</v>
      </c>
      <c r="E125" s="234">
        <f>_xlfn.XLOOKUP($A125,'Change in Proportion Calc'!$A$5:$A$311,'Change in Proportion Calc'!N$5:N$311,"n",0,1)</f>
        <v>-10588</v>
      </c>
      <c r="F125" s="234">
        <f>_xlfn.XLOOKUP($A125,'Change in Proportion Calc'!$A$5:$A$311,'Change in Proportion Calc'!O$5:O$311,"n",0,1)</f>
        <v>-10588</v>
      </c>
      <c r="G125" s="234">
        <f>_xlfn.XLOOKUP($A125,'Change in Proportion Calc'!$A$5:$A$311,'Change in Proportion Calc'!P$5:P$311,"n",0,1)</f>
        <v>-8154</v>
      </c>
      <c r="H125" s="54"/>
      <c r="I125" s="69">
        <v>8027</v>
      </c>
      <c r="J125" s="69">
        <v>8027</v>
      </c>
      <c r="K125" s="69">
        <v>8027</v>
      </c>
      <c r="L125" s="69">
        <v>8027</v>
      </c>
      <c r="M125" s="69">
        <v>7465</v>
      </c>
      <c r="N125" s="54"/>
      <c r="O125" s="69">
        <v>-11345</v>
      </c>
      <c r="P125" s="69">
        <v>-11345</v>
      </c>
      <c r="Q125" s="69">
        <v>-11345</v>
      </c>
      <c r="R125" s="69">
        <v>-9868</v>
      </c>
      <c r="S125" s="69"/>
      <c r="T125" s="69">
        <v>-3500</v>
      </c>
      <c r="U125" s="69">
        <v>-3500</v>
      </c>
      <c r="V125" s="69">
        <v>-3113</v>
      </c>
      <c r="W125" s="54"/>
      <c r="X125" s="69">
        <v>-17089</v>
      </c>
      <c r="Y125" s="69">
        <v>-16746</v>
      </c>
      <c r="Z125" s="54"/>
      <c r="AA125" s="108">
        <v>-96521</v>
      </c>
      <c r="AB125" s="54"/>
      <c r="AC125" s="108">
        <f>VLOOKUP(A125,'Change in Proportion Calc'!$A$5:$H$311,8,FALSE)+SUMIF($C$5:$AB$5,2026,C125:AB125)</f>
        <v>-131016</v>
      </c>
      <c r="AE125" s="107">
        <f t="shared" si="7"/>
        <v>31546</v>
      </c>
      <c r="AF125" s="107">
        <f t="shared" si="8"/>
        <v>106423</v>
      </c>
      <c r="AH125" s="107"/>
      <c r="AI125" s="108"/>
      <c r="AJ125" s="108"/>
      <c r="AK125" s="213">
        <f t="shared" si="5"/>
        <v>9150</v>
      </c>
      <c r="AL125" s="107">
        <f t="shared" si="9"/>
        <v>-34152</v>
      </c>
      <c r="AM125" s="107">
        <f t="shared" si="9"/>
        <v>-17019</v>
      </c>
      <c r="AN125" s="107">
        <f t="shared" si="9"/>
        <v>-12429</v>
      </c>
      <c r="AO125" s="107">
        <f t="shared" si="9"/>
        <v>-3123</v>
      </c>
      <c r="AP125" s="107">
        <f t="shared" si="9"/>
        <v>-8154</v>
      </c>
    </row>
    <row r="126" spans="1:42">
      <c r="A126" s="51">
        <v>6017</v>
      </c>
      <c r="B126" s="55" t="s">
        <v>115</v>
      </c>
      <c r="C126" s="234">
        <f>_xlfn.XLOOKUP($A126,'Change in Proportion Calc'!$A$5:$A$311,'Change in Proportion Calc'!L$5:L$311,"n",0,1)</f>
        <v>-68519</v>
      </c>
      <c r="D126" s="234">
        <f>_xlfn.XLOOKUP($A126,'Change in Proportion Calc'!$A$5:$A$311,'Change in Proportion Calc'!M$5:M$311,"n",0,1)</f>
        <v>-68519</v>
      </c>
      <c r="E126" s="234">
        <f>_xlfn.XLOOKUP($A126,'Change in Proportion Calc'!$A$5:$A$311,'Change in Proportion Calc'!N$5:N$311,"n",0,1)</f>
        <v>-68519</v>
      </c>
      <c r="F126" s="234">
        <f>_xlfn.XLOOKUP($A126,'Change in Proportion Calc'!$A$5:$A$311,'Change in Proportion Calc'!O$5:O$311,"n",0,1)</f>
        <v>-68519</v>
      </c>
      <c r="G126" s="234">
        <f>_xlfn.XLOOKUP($A126,'Change in Proportion Calc'!$A$5:$A$311,'Change in Proportion Calc'!P$5:P$311,"n",0,1)</f>
        <v>-52760</v>
      </c>
      <c r="H126" s="54"/>
      <c r="I126" s="69">
        <v>-296569</v>
      </c>
      <c r="J126" s="69">
        <v>-296569</v>
      </c>
      <c r="K126" s="69">
        <v>-296569</v>
      </c>
      <c r="L126" s="69">
        <v>-296569</v>
      </c>
      <c r="M126" s="69">
        <v>-275810</v>
      </c>
      <c r="N126" s="54"/>
      <c r="O126" s="69">
        <v>365387</v>
      </c>
      <c r="P126" s="69">
        <v>365387</v>
      </c>
      <c r="Q126" s="69">
        <v>365387</v>
      </c>
      <c r="R126" s="69">
        <v>317889</v>
      </c>
      <c r="S126" s="69"/>
      <c r="T126" s="69">
        <v>-136618</v>
      </c>
      <c r="U126" s="69">
        <v>-136618</v>
      </c>
      <c r="V126" s="69">
        <v>-121588</v>
      </c>
      <c r="W126" s="54"/>
      <c r="X126" s="69">
        <v>766241</v>
      </c>
      <c r="Y126" s="69">
        <v>750918</v>
      </c>
      <c r="Z126" s="54"/>
      <c r="AA126" s="108">
        <v>372119</v>
      </c>
      <c r="AB126" s="54"/>
      <c r="AC126" s="108">
        <f>VLOOKUP(A126,'Change in Proportion Calc'!$A$5:$H$311,8,FALSE)+SUMIF($C$5:$AB$5,2026,C126:AB126)</f>
        <v>1002041</v>
      </c>
      <c r="AE126" s="107">
        <f t="shared" si="7"/>
        <v>1799581</v>
      </c>
      <c r="AF126" s="107">
        <f t="shared" si="8"/>
        <v>1750559</v>
      </c>
      <c r="AH126" s="107"/>
      <c r="AI126" s="108"/>
      <c r="AJ126" s="108"/>
      <c r="AK126" s="213">
        <f t="shared" si="5"/>
        <v>6017</v>
      </c>
      <c r="AL126" s="107">
        <f t="shared" si="9"/>
        <v>614599</v>
      </c>
      <c r="AM126" s="107">
        <f t="shared" si="9"/>
        <v>-121289</v>
      </c>
      <c r="AN126" s="107">
        <f t="shared" si="9"/>
        <v>-47199</v>
      </c>
      <c r="AO126" s="107">
        <f t="shared" si="9"/>
        <v>-344329</v>
      </c>
      <c r="AP126" s="107">
        <f t="shared" si="9"/>
        <v>-52760</v>
      </c>
    </row>
    <row r="127" spans="1:42">
      <c r="A127" s="53">
        <v>26080</v>
      </c>
      <c r="B127" s="54" t="s">
        <v>116</v>
      </c>
      <c r="C127" s="234">
        <f>_xlfn.XLOOKUP($A127,'Change in Proportion Calc'!$A$5:$A$311,'Change in Proportion Calc'!L$5:L$311,"n",0,1)</f>
        <v>-46034</v>
      </c>
      <c r="D127" s="234">
        <f>_xlfn.XLOOKUP($A127,'Change in Proportion Calc'!$A$5:$A$311,'Change in Proportion Calc'!M$5:M$311,"n",0,1)</f>
        <v>-46034</v>
      </c>
      <c r="E127" s="234">
        <f>_xlfn.XLOOKUP($A127,'Change in Proportion Calc'!$A$5:$A$311,'Change in Proportion Calc'!N$5:N$311,"n",0,1)</f>
        <v>-46034</v>
      </c>
      <c r="F127" s="234">
        <f>_xlfn.XLOOKUP($A127,'Change in Proportion Calc'!$A$5:$A$311,'Change in Proportion Calc'!O$5:O$311,"n",0,1)</f>
        <v>-46034</v>
      </c>
      <c r="G127" s="234">
        <f>_xlfn.XLOOKUP($A127,'Change in Proportion Calc'!$A$5:$A$311,'Change in Proportion Calc'!P$5:P$311,"n",0,1)</f>
        <v>-35445</v>
      </c>
      <c r="H127" s="54"/>
      <c r="I127" s="69">
        <v>-902</v>
      </c>
      <c r="J127" s="69">
        <v>-902</v>
      </c>
      <c r="K127" s="69">
        <v>-902</v>
      </c>
      <c r="L127" s="69">
        <v>-902</v>
      </c>
      <c r="M127" s="69">
        <v>-839</v>
      </c>
      <c r="N127" s="54"/>
      <c r="O127" s="69">
        <v>-18643</v>
      </c>
      <c r="P127" s="69">
        <v>-18643</v>
      </c>
      <c r="Q127" s="69">
        <v>-18643</v>
      </c>
      <c r="R127" s="69">
        <v>-16217</v>
      </c>
      <c r="S127" s="69"/>
      <c r="T127" s="69">
        <v>40719</v>
      </c>
      <c r="U127" s="69">
        <v>40719</v>
      </c>
      <c r="V127" s="69">
        <v>36240</v>
      </c>
      <c r="W127" s="54"/>
      <c r="X127" s="69">
        <v>19113</v>
      </c>
      <c r="Y127" s="69">
        <v>18733</v>
      </c>
      <c r="Z127" s="54"/>
      <c r="AA127" s="108">
        <v>167</v>
      </c>
      <c r="AB127" s="54"/>
      <c r="AC127" s="108">
        <f>VLOOKUP(A127,'Change in Proportion Calc'!$A$5:$H$311,8,FALSE)+SUMIF($C$5:$AB$5,2026,C127:AB127)</f>
        <v>-5580</v>
      </c>
      <c r="AE127" s="107">
        <f t="shared" si="7"/>
        <v>95692</v>
      </c>
      <c r="AF127" s="107">
        <f t="shared" si="8"/>
        <v>276629</v>
      </c>
      <c r="AH127" s="107"/>
      <c r="AI127" s="108"/>
      <c r="AJ127" s="108"/>
      <c r="AK127" s="213">
        <f t="shared" si="5"/>
        <v>26080</v>
      </c>
      <c r="AL127" s="107">
        <f t="shared" si="9"/>
        <v>-6127</v>
      </c>
      <c r="AM127" s="107">
        <f t="shared" si="9"/>
        <v>-29339</v>
      </c>
      <c r="AN127" s="107">
        <f t="shared" si="9"/>
        <v>-63153</v>
      </c>
      <c r="AO127" s="107">
        <f t="shared" si="9"/>
        <v>-46873</v>
      </c>
      <c r="AP127" s="107">
        <f t="shared" si="9"/>
        <v>-35445</v>
      </c>
    </row>
    <row r="128" spans="1:42">
      <c r="A128" s="51">
        <v>2327</v>
      </c>
      <c r="B128" s="55" t="s">
        <v>117</v>
      </c>
      <c r="C128" s="234">
        <f>_xlfn.XLOOKUP($A128,'Change in Proportion Calc'!$A$5:$A$311,'Change in Proportion Calc'!L$5:L$311,"n",0,1)</f>
        <v>-6115</v>
      </c>
      <c r="D128" s="234">
        <f>_xlfn.XLOOKUP($A128,'Change in Proportion Calc'!$A$5:$A$311,'Change in Proportion Calc'!M$5:M$311,"n",0,1)</f>
        <v>-6115</v>
      </c>
      <c r="E128" s="234">
        <f>_xlfn.XLOOKUP($A128,'Change in Proportion Calc'!$A$5:$A$311,'Change in Proportion Calc'!N$5:N$311,"n",0,1)</f>
        <v>-6115</v>
      </c>
      <c r="F128" s="234">
        <f>_xlfn.XLOOKUP($A128,'Change in Proportion Calc'!$A$5:$A$311,'Change in Proportion Calc'!O$5:O$311,"n",0,1)</f>
        <v>-6115</v>
      </c>
      <c r="G128" s="234">
        <f>_xlfn.XLOOKUP($A128,'Change in Proportion Calc'!$A$5:$A$311,'Change in Proportion Calc'!P$5:P$311,"n",0,1)</f>
        <v>-4707</v>
      </c>
      <c r="H128" s="54"/>
      <c r="I128" s="69">
        <v>5182</v>
      </c>
      <c r="J128" s="69">
        <v>5182</v>
      </c>
      <c r="K128" s="69">
        <v>5182</v>
      </c>
      <c r="L128" s="69">
        <v>5182</v>
      </c>
      <c r="M128" s="69">
        <v>4822</v>
      </c>
      <c r="N128" s="54"/>
      <c r="O128" s="69">
        <v>15544</v>
      </c>
      <c r="P128" s="69">
        <v>15544</v>
      </c>
      <c r="Q128" s="69">
        <v>15544</v>
      </c>
      <c r="R128" s="69">
        <v>13523</v>
      </c>
      <c r="S128" s="69"/>
      <c r="T128" s="69">
        <v>-702</v>
      </c>
      <c r="U128" s="69">
        <v>-702</v>
      </c>
      <c r="V128" s="69">
        <v>-626</v>
      </c>
      <c r="W128" s="54"/>
      <c r="X128" s="69">
        <v>-34745</v>
      </c>
      <c r="Y128" s="69">
        <v>-34048</v>
      </c>
      <c r="Z128" s="54"/>
      <c r="AA128" s="108">
        <v>19860</v>
      </c>
      <c r="AB128" s="54"/>
      <c r="AC128" s="108">
        <f>VLOOKUP(A128,'Change in Proportion Calc'!$A$5:$H$311,8,FALSE)+SUMIF($C$5:$AB$5,2026,C128:AB128)</f>
        <v>-976</v>
      </c>
      <c r="AE128" s="107">
        <f t="shared" si="7"/>
        <v>64979</v>
      </c>
      <c r="AF128" s="107">
        <f t="shared" si="8"/>
        <v>64543</v>
      </c>
      <c r="AH128" s="107"/>
      <c r="AI128" s="108"/>
      <c r="AJ128" s="108"/>
      <c r="AK128" s="213">
        <f t="shared" si="5"/>
        <v>2327</v>
      </c>
      <c r="AL128" s="107">
        <f t="shared" si="9"/>
        <v>-20139</v>
      </c>
      <c r="AM128" s="107">
        <f t="shared" si="9"/>
        <v>13985</v>
      </c>
      <c r="AN128" s="107">
        <f t="shared" si="9"/>
        <v>12590</v>
      </c>
      <c r="AO128" s="107">
        <f t="shared" si="9"/>
        <v>-1293</v>
      </c>
      <c r="AP128" s="107">
        <f t="shared" si="9"/>
        <v>-4707</v>
      </c>
    </row>
    <row r="129" spans="1:42">
      <c r="A129" s="53">
        <v>10119</v>
      </c>
      <c r="B129" s="54" t="s">
        <v>118</v>
      </c>
      <c r="C129" s="234">
        <f>_xlfn.XLOOKUP($A129,'Change in Proportion Calc'!$A$5:$A$311,'Change in Proportion Calc'!L$5:L$311,"n",0,1)</f>
        <v>5293</v>
      </c>
      <c r="D129" s="234">
        <f>_xlfn.XLOOKUP($A129,'Change in Proportion Calc'!$A$5:$A$311,'Change in Proportion Calc'!M$5:M$311,"n",0,1)</f>
        <v>5293</v>
      </c>
      <c r="E129" s="234">
        <f>_xlfn.XLOOKUP($A129,'Change in Proportion Calc'!$A$5:$A$311,'Change in Proportion Calc'!N$5:N$311,"n",0,1)</f>
        <v>5293</v>
      </c>
      <c r="F129" s="234">
        <f>_xlfn.XLOOKUP($A129,'Change in Proportion Calc'!$A$5:$A$311,'Change in Proportion Calc'!O$5:O$311,"n",0,1)</f>
        <v>5293</v>
      </c>
      <c r="G129" s="234">
        <f>_xlfn.XLOOKUP($A129,'Change in Proportion Calc'!$A$5:$A$311,'Change in Proportion Calc'!P$5:P$311,"n",0,1)</f>
        <v>4075</v>
      </c>
      <c r="H129" s="54"/>
      <c r="I129" s="69">
        <v>-14172</v>
      </c>
      <c r="J129" s="69">
        <v>-14172</v>
      </c>
      <c r="K129" s="69">
        <v>-14172</v>
      </c>
      <c r="L129" s="69">
        <v>-14172</v>
      </c>
      <c r="M129" s="69">
        <v>-13180</v>
      </c>
      <c r="N129" s="54"/>
      <c r="O129" s="69">
        <v>13139</v>
      </c>
      <c r="P129" s="69">
        <v>13139</v>
      </c>
      <c r="Q129" s="69">
        <v>13139</v>
      </c>
      <c r="R129" s="69">
        <v>11433</v>
      </c>
      <c r="S129" s="69"/>
      <c r="T129" s="69">
        <v>-15250</v>
      </c>
      <c r="U129" s="69">
        <v>-15250</v>
      </c>
      <c r="V129" s="69">
        <v>-13572</v>
      </c>
      <c r="W129" s="54"/>
      <c r="X129" s="69">
        <v>4616</v>
      </c>
      <c r="Y129" s="69">
        <v>4526</v>
      </c>
      <c r="Z129" s="54"/>
      <c r="AA129" s="108">
        <v>-15989</v>
      </c>
      <c r="AB129" s="54"/>
      <c r="AC129" s="108">
        <f>VLOOKUP(A129,'Change in Proportion Calc'!$A$5:$H$311,8,FALSE)+SUMIF($C$5:$AB$5,2026,C129:AB129)</f>
        <v>-22363</v>
      </c>
      <c r="AE129" s="107">
        <f t="shared" si="7"/>
        <v>67484</v>
      </c>
      <c r="AF129" s="107">
        <f t="shared" si="8"/>
        <v>84518</v>
      </c>
      <c r="AH129" s="107"/>
      <c r="AI129" s="108"/>
      <c r="AJ129" s="108"/>
      <c r="AK129" s="213">
        <f t="shared" si="5"/>
        <v>10119</v>
      </c>
      <c r="AL129" s="107">
        <f t="shared" si="9"/>
        <v>-6464</v>
      </c>
      <c r="AM129" s="107">
        <f t="shared" si="9"/>
        <v>-9312</v>
      </c>
      <c r="AN129" s="107">
        <f t="shared" si="9"/>
        <v>2554</v>
      </c>
      <c r="AO129" s="107">
        <f t="shared" si="9"/>
        <v>-7887</v>
      </c>
      <c r="AP129" s="107">
        <f t="shared" si="9"/>
        <v>4075</v>
      </c>
    </row>
    <row r="130" spans="1:42">
      <c r="A130" s="51">
        <v>13436</v>
      </c>
      <c r="B130" s="55" t="s">
        <v>394</v>
      </c>
      <c r="C130" s="234">
        <f>_xlfn.XLOOKUP($A130,'Change in Proportion Calc'!$A$5:$A$311,'Change in Proportion Calc'!L$5:L$311,"n",0,1)</f>
        <v>30703</v>
      </c>
      <c r="D130" s="234">
        <f>_xlfn.XLOOKUP($A130,'Change in Proportion Calc'!$A$5:$A$311,'Change in Proportion Calc'!M$5:M$311,"n",0,1)</f>
        <v>30703</v>
      </c>
      <c r="E130" s="234">
        <f>_xlfn.XLOOKUP($A130,'Change in Proportion Calc'!$A$5:$A$311,'Change in Proportion Calc'!N$5:N$311,"n",0,1)</f>
        <v>30703</v>
      </c>
      <c r="F130" s="234">
        <f>_xlfn.XLOOKUP($A130,'Change in Proportion Calc'!$A$5:$A$311,'Change in Proportion Calc'!O$5:O$311,"n",0,1)</f>
        <v>30703</v>
      </c>
      <c r="G130" s="234">
        <f>_xlfn.XLOOKUP($A130,'Change in Proportion Calc'!$A$5:$A$311,'Change in Proportion Calc'!P$5:P$311,"n",0,1)</f>
        <v>23643</v>
      </c>
      <c r="H130" s="54"/>
      <c r="I130" s="69">
        <v>171857</v>
      </c>
      <c r="J130" s="69">
        <v>171857</v>
      </c>
      <c r="K130" s="69">
        <v>171857</v>
      </c>
      <c r="L130" s="69">
        <v>171857</v>
      </c>
      <c r="M130" s="69">
        <v>159825</v>
      </c>
      <c r="N130" s="54"/>
      <c r="O130" s="69">
        <v>139857</v>
      </c>
      <c r="P130" s="69">
        <v>139857</v>
      </c>
      <c r="Q130" s="69">
        <v>139857</v>
      </c>
      <c r="R130" s="69">
        <v>121675</v>
      </c>
      <c r="S130" s="69"/>
      <c r="T130" s="69">
        <v>130011</v>
      </c>
      <c r="U130" s="69">
        <v>130011</v>
      </c>
      <c r="V130" s="69">
        <v>115709</v>
      </c>
      <c r="W130" s="54"/>
      <c r="X130" s="69">
        <v>77912</v>
      </c>
      <c r="Y130" s="69">
        <v>76353</v>
      </c>
      <c r="Z130" s="54"/>
      <c r="AA130" s="108">
        <v>132120</v>
      </c>
      <c r="AB130" s="54"/>
      <c r="AC130" s="108">
        <f>VLOOKUP(A130,'Change in Proportion Calc'!$A$5:$H$311,8,FALSE)+SUMIF($C$5:$AB$5,2026,C130:AB130)</f>
        <v>682460</v>
      </c>
      <c r="AE130" s="107">
        <f t="shared" si="7"/>
        <v>1545313</v>
      </c>
      <c r="AF130" s="107">
        <f t="shared" si="8"/>
        <v>0</v>
      </c>
      <c r="AH130" s="107"/>
      <c r="AI130" s="108"/>
      <c r="AJ130" s="108"/>
      <c r="AK130" s="213">
        <f t="shared" si="5"/>
        <v>13436</v>
      </c>
      <c r="AL130" s="107">
        <f t="shared" si="9"/>
        <v>548781</v>
      </c>
      <c r="AM130" s="107">
        <f t="shared" si="9"/>
        <v>458126</v>
      </c>
      <c r="AN130" s="107">
        <f t="shared" si="9"/>
        <v>324235</v>
      </c>
      <c r="AO130" s="107">
        <f t="shared" si="9"/>
        <v>190528</v>
      </c>
      <c r="AP130" s="107">
        <f t="shared" si="9"/>
        <v>23643</v>
      </c>
    </row>
    <row r="131" spans="1:42">
      <c r="A131" s="53">
        <v>2368</v>
      </c>
      <c r="B131" s="54" t="s">
        <v>119</v>
      </c>
      <c r="C131" s="234">
        <f>_xlfn.XLOOKUP($A131,'Change in Proportion Calc'!$A$5:$A$311,'Change in Proportion Calc'!L$5:L$311,"n",0,1)</f>
        <v>14573</v>
      </c>
      <c r="D131" s="234">
        <f>_xlfn.XLOOKUP($A131,'Change in Proportion Calc'!$A$5:$A$311,'Change in Proportion Calc'!M$5:M$311,"n",0,1)</f>
        <v>14573</v>
      </c>
      <c r="E131" s="234">
        <f>_xlfn.XLOOKUP($A131,'Change in Proportion Calc'!$A$5:$A$311,'Change in Proportion Calc'!N$5:N$311,"n",0,1)</f>
        <v>14573</v>
      </c>
      <c r="F131" s="234">
        <f>_xlfn.XLOOKUP($A131,'Change in Proportion Calc'!$A$5:$A$311,'Change in Proportion Calc'!O$5:O$311,"n",0,1)</f>
        <v>14573</v>
      </c>
      <c r="G131" s="234">
        <f>_xlfn.XLOOKUP($A131,'Change in Proportion Calc'!$A$5:$A$311,'Change in Proportion Calc'!P$5:P$311,"n",0,1)</f>
        <v>11219</v>
      </c>
      <c r="H131" s="54"/>
      <c r="I131" s="69">
        <v>-12997</v>
      </c>
      <c r="J131" s="69">
        <v>-12997</v>
      </c>
      <c r="K131" s="69">
        <v>-12997</v>
      </c>
      <c r="L131" s="69">
        <v>-12997</v>
      </c>
      <c r="M131" s="69">
        <v>-12085</v>
      </c>
      <c r="N131" s="54"/>
      <c r="O131" s="69">
        <v>34427</v>
      </c>
      <c r="P131" s="69">
        <v>34427</v>
      </c>
      <c r="Q131" s="69">
        <v>34427</v>
      </c>
      <c r="R131" s="69">
        <v>29950</v>
      </c>
      <c r="S131" s="69"/>
      <c r="T131" s="69">
        <v>-59613</v>
      </c>
      <c r="U131" s="69">
        <v>-59613</v>
      </c>
      <c r="V131" s="69">
        <v>-53057</v>
      </c>
      <c r="W131" s="54"/>
      <c r="X131" s="69">
        <v>100427</v>
      </c>
      <c r="Y131" s="69">
        <v>98418</v>
      </c>
      <c r="Z131" s="54"/>
      <c r="AA131" s="108">
        <v>7323</v>
      </c>
      <c r="AB131" s="54"/>
      <c r="AC131" s="108">
        <f>VLOOKUP(A131,'Change in Proportion Calc'!$A$5:$H$311,8,FALSE)+SUMIF($C$5:$AB$5,2026,C131:AB131)</f>
        <v>84140</v>
      </c>
      <c r="AE131" s="107">
        <f t="shared" si="7"/>
        <v>266733</v>
      </c>
      <c r="AF131" s="107">
        <f t="shared" si="8"/>
        <v>163746</v>
      </c>
      <c r="AH131" s="107"/>
      <c r="AI131" s="108"/>
      <c r="AJ131" s="108"/>
      <c r="AK131" s="213">
        <f t="shared" si="5"/>
        <v>2368</v>
      </c>
      <c r="AL131" s="107">
        <f t="shared" si="9"/>
        <v>74808</v>
      </c>
      <c r="AM131" s="107">
        <f t="shared" si="9"/>
        <v>-17054</v>
      </c>
      <c r="AN131" s="107">
        <f t="shared" si="9"/>
        <v>31526</v>
      </c>
      <c r="AO131" s="107">
        <f t="shared" si="9"/>
        <v>2488</v>
      </c>
      <c r="AP131" s="107">
        <f t="shared" si="9"/>
        <v>11219</v>
      </c>
    </row>
    <row r="132" spans="1:42">
      <c r="A132" s="51">
        <v>7420</v>
      </c>
      <c r="B132" s="55" t="s">
        <v>120</v>
      </c>
      <c r="C132" s="234">
        <f>_xlfn.XLOOKUP($A132,'Change in Proportion Calc'!$A$5:$A$311,'Change in Proportion Calc'!L$5:L$311,"n",0,1)</f>
        <v>5982</v>
      </c>
      <c r="D132" s="234">
        <f>_xlfn.XLOOKUP($A132,'Change in Proportion Calc'!$A$5:$A$311,'Change in Proportion Calc'!M$5:M$311,"n",0,1)</f>
        <v>5982</v>
      </c>
      <c r="E132" s="234">
        <f>_xlfn.XLOOKUP($A132,'Change in Proportion Calc'!$A$5:$A$311,'Change in Proportion Calc'!N$5:N$311,"n",0,1)</f>
        <v>5982</v>
      </c>
      <c r="F132" s="234">
        <f>_xlfn.XLOOKUP($A132,'Change in Proportion Calc'!$A$5:$A$311,'Change in Proportion Calc'!O$5:O$311,"n",0,1)</f>
        <v>5982</v>
      </c>
      <c r="G132" s="234">
        <f>_xlfn.XLOOKUP($A132,'Change in Proportion Calc'!$A$5:$A$311,'Change in Proportion Calc'!P$5:P$311,"n",0,1)</f>
        <v>4609</v>
      </c>
      <c r="H132" s="54"/>
      <c r="I132" s="69">
        <v>3350</v>
      </c>
      <c r="J132" s="69">
        <v>3350</v>
      </c>
      <c r="K132" s="69">
        <v>3350</v>
      </c>
      <c r="L132" s="69">
        <v>3350</v>
      </c>
      <c r="M132" s="69">
        <v>3114</v>
      </c>
      <c r="N132" s="54"/>
      <c r="O132" s="69">
        <v>5077</v>
      </c>
      <c r="P132" s="69">
        <v>5077</v>
      </c>
      <c r="Q132" s="69">
        <v>5077</v>
      </c>
      <c r="R132" s="69">
        <v>4418</v>
      </c>
      <c r="S132" s="69"/>
      <c r="T132" s="69">
        <v>14194</v>
      </c>
      <c r="U132" s="69">
        <v>14194</v>
      </c>
      <c r="V132" s="69">
        <v>12632</v>
      </c>
      <c r="W132" s="54"/>
      <c r="X132" s="69">
        <v>14578</v>
      </c>
      <c r="Y132" s="69">
        <v>14287</v>
      </c>
      <c r="Z132" s="54"/>
      <c r="AA132" s="108">
        <v>-3114</v>
      </c>
      <c r="AB132" s="54"/>
      <c r="AC132" s="108">
        <f>VLOOKUP(A132,'Change in Proportion Calc'!$A$5:$H$311,8,FALSE)+SUMIF($C$5:$AB$5,2026,C132:AB132)</f>
        <v>40067</v>
      </c>
      <c r="AE132" s="107">
        <f t="shared" si="7"/>
        <v>97386</v>
      </c>
      <c r="AF132" s="107">
        <f t="shared" si="8"/>
        <v>0</v>
      </c>
      <c r="AH132" s="107"/>
      <c r="AI132" s="108"/>
      <c r="AJ132" s="108"/>
      <c r="AK132" s="213">
        <f t="shared" si="5"/>
        <v>7420</v>
      </c>
      <c r="AL132" s="107">
        <f t="shared" si="9"/>
        <v>42890</v>
      </c>
      <c r="AM132" s="107">
        <f t="shared" si="9"/>
        <v>27041</v>
      </c>
      <c r="AN132" s="107">
        <f t="shared" si="9"/>
        <v>13750</v>
      </c>
      <c r="AO132" s="107">
        <f t="shared" si="9"/>
        <v>9096</v>
      </c>
      <c r="AP132" s="107">
        <f t="shared" si="9"/>
        <v>4609</v>
      </c>
    </row>
    <row r="133" spans="1:42">
      <c r="A133" s="53">
        <v>6018</v>
      </c>
      <c r="B133" s="54" t="s">
        <v>121</v>
      </c>
      <c r="C133" s="234">
        <f>_xlfn.XLOOKUP($A133,'Change in Proportion Calc'!$A$5:$A$311,'Change in Proportion Calc'!L$5:L$311,"n",0,1)</f>
        <v>77111</v>
      </c>
      <c r="D133" s="234">
        <f>_xlfn.XLOOKUP($A133,'Change in Proportion Calc'!$A$5:$A$311,'Change in Proportion Calc'!M$5:M$311,"n",0,1)</f>
        <v>77111</v>
      </c>
      <c r="E133" s="234">
        <f>_xlfn.XLOOKUP($A133,'Change in Proportion Calc'!$A$5:$A$311,'Change in Proportion Calc'!N$5:N$311,"n",0,1)</f>
        <v>77111</v>
      </c>
      <c r="F133" s="234">
        <f>_xlfn.XLOOKUP($A133,'Change in Proportion Calc'!$A$5:$A$311,'Change in Proportion Calc'!O$5:O$311,"n",0,1)</f>
        <v>77111</v>
      </c>
      <c r="G133" s="234">
        <f>_xlfn.XLOOKUP($A133,'Change in Proportion Calc'!$A$5:$A$311,'Change in Proportion Calc'!P$5:P$311,"n",0,1)</f>
        <v>59373</v>
      </c>
      <c r="H133" s="54"/>
      <c r="I133" s="69">
        <v>34094</v>
      </c>
      <c r="J133" s="69">
        <v>34094</v>
      </c>
      <c r="K133" s="69">
        <v>34094</v>
      </c>
      <c r="L133" s="69">
        <v>34094</v>
      </c>
      <c r="M133" s="69">
        <v>31709</v>
      </c>
      <c r="N133" s="54"/>
      <c r="O133" s="69">
        <v>88519</v>
      </c>
      <c r="P133" s="69">
        <v>88519</v>
      </c>
      <c r="Q133" s="69">
        <v>88519</v>
      </c>
      <c r="R133" s="69">
        <v>77012</v>
      </c>
      <c r="S133" s="69"/>
      <c r="T133" s="69">
        <v>-3362</v>
      </c>
      <c r="U133" s="69">
        <v>-3362</v>
      </c>
      <c r="V133" s="69">
        <v>-2992</v>
      </c>
      <c r="W133" s="54"/>
      <c r="X133" s="69">
        <v>26079</v>
      </c>
      <c r="Y133" s="69">
        <v>25555</v>
      </c>
      <c r="Z133" s="54"/>
      <c r="AA133" s="108">
        <v>8248</v>
      </c>
      <c r="AB133" s="54"/>
      <c r="AC133" s="108">
        <f>VLOOKUP(A133,'Change in Proportion Calc'!$A$5:$H$311,8,FALSE)+SUMIF($C$5:$AB$5,2026,C133:AB133)</f>
        <v>230689</v>
      </c>
      <c r="AE133" s="107">
        <f t="shared" si="7"/>
        <v>781413</v>
      </c>
      <c r="AF133" s="107">
        <f t="shared" si="8"/>
        <v>6354</v>
      </c>
      <c r="AH133" s="107"/>
      <c r="AI133" s="108"/>
      <c r="AJ133" s="108"/>
      <c r="AK133" s="213">
        <f t="shared" si="5"/>
        <v>6018</v>
      </c>
      <c r="AL133" s="107">
        <f t="shared" si="9"/>
        <v>221917</v>
      </c>
      <c r="AM133" s="107">
        <f t="shared" si="9"/>
        <v>196732</v>
      </c>
      <c r="AN133" s="107">
        <f t="shared" si="9"/>
        <v>188217</v>
      </c>
      <c r="AO133" s="107">
        <f t="shared" si="9"/>
        <v>108820</v>
      </c>
      <c r="AP133" s="107">
        <f t="shared" si="9"/>
        <v>59373</v>
      </c>
    </row>
    <row r="134" spans="1:42">
      <c r="A134" s="51">
        <v>3321</v>
      </c>
      <c r="B134" s="55" t="s">
        <v>122</v>
      </c>
      <c r="C134" s="234">
        <f>_xlfn.XLOOKUP($A134,'Change in Proportion Calc'!$A$5:$A$311,'Change in Proportion Calc'!L$5:L$311,"n",0,1)</f>
        <v>-11432</v>
      </c>
      <c r="D134" s="234">
        <f>_xlfn.XLOOKUP($A134,'Change in Proportion Calc'!$A$5:$A$311,'Change in Proportion Calc'!M$5:M$311,"n",0,1)</f>
        <v>-11432</v>
      </c>
      <c r="E134" s="234">
        <f>_xlfn.XLOOKUP($A134,'Change in Proportion Calc'!$A$5:$A$311,'Change in Proportion Calc'!N$5:N$311,"n",0,1)</f>
        <v>-11432</v>
      </c>
      <c r="F134" s="234">
        <f>_xlfn.XLOOKUP($A134,'Change in Proportion Calc'!$A$5:$A$311,'Change in Proportion Calc'!O$5:O$311,"n",0,1)</f>
        <v>-11432</v>
      </c>
      <c r="G134" s="234">
        <f>_xlfn.XLOOKUP($A134,'Change in Proportion Calc'!$A$5:$A$311,'Change in Proportion Calc'!P$5:P$311,"n",0,1)</f>
        <v>-8801</v>
      </c>
      <c r="H134" s="54"/>
      <c r="I134" s="69">
        <v>-35887</v>
      </c>
      <c r="J134" s="69">
        <v>-35887</v>
      </c>
      <c r="K134" s="69">
        <v>-35887</v>
      </c>
      <c r="L134" s="69">
        <v>-35887</v>
      </c>
      <c r="M134" s="69">
        <v>-33377</v>
      </c>
      <c r="N134" s="54"/>
      <c r="O134" s="69">
        <v>-15707</v>
      </c>
      <c r="P134" s="69">
        <v>-15707</v>
      </c>
      <c r="Q134" s="69">
        <v>-15707</v>
      </c>
      <c r="R134" s="69">
        <v>-13665</v>
      </c>
      <c r="S134" s="69"/>
      <c r="T134" s="69">
        <v>45429</v>
      </c>
      <c r="U134" s="69">
        <v>45429</v>
      </c>
      <c r="V134" s="69">
        <v>40432</v>
      </c>
      <c r="W134" s="54"/>
      <c r="X134" s="69">
        <v>9719</v>
      </c>
      <c r="Y134" s="69">
        <v>9523</v>
      </c>
      <c r="Z134" s="54"/>
      <c r="AA134" s="108">
        <v>12202</v>
      </c>
      <c r="AB134" s="54"/>
      <c r="AC134" s="108">
        <f>VLOOKUP(A134,'Change in Proportion Calc'!$A$5:$H$311,8,FALSE)+SUMIF($C$5:$AB$5,2026,C134:AB134)</f>
        <v>4324</v>
      </c>
      <c r="AE134" s="107">
        <f t="shared" si="7"/>
        <v>95384</v>
      </c>
      <c r="AF134" s="107">
        <f t="shared" si="8"/>
        <v>240646</v>
      </c>
      <c r="AH134" s="107"/>
      <c r="AI134" s="108"/>
      <c r="AJ134" s="108"/>
      <c r="AK134" s="213">
        <f t="shared" si="5"/>
        <v>3321</v>
      </c>
      <c r="AL134" s="107">
        <f t="shared" si="9"/>
        <v>-8074</v>
      </c>
      <c r="AM134" s="107">
        <f t="shared" si="9"/>
        <v>-22594</v>
      </c>
      <c r="AN134" s="107">
        <f t="shared" si="9"/>
        <v>-60984</v>
      </c>
      <c r="AO134" s="107">
        <f t="shared" si="9"/>
        <v>-44809</v>
      </c>
      <c r="AP134" s="107">
        <f t="shared" si="9"/>
        <v>-8801</v>
      </c>
    </row>
    <row r="135" spans="1:42">
      <c r="A135" s="53">
        <v>29122</v>
      </c>
      <c r="B135" s="54" t="s">
        <v>123</v>
      </c>
      <c r="C135" s="234">
        <f>_xlfn.XLOOKUP($A135,'Change in Proportion Calc'!$A$5:$A$311,'Change in Proportion Calc'!L$5:L$311,"n",0,1)</f>
        <v>39423</v>
      </c>
      <c r="D135" s="234">
        <f>_xlfn.XLOOKUP($A135,'Change in Proportion Calc'!$A$5:$A$311,'Change in Proportion Calc'!M$5:M$311,"n",0,1)</f>
        <v>39423</v>
      </c>
      <c r="E135" s="234">
        <f>_xlfn.XLOOKUP($A135,'Change in Proportion Calc'!$A$5:$A$311,'Change in Proportion Calc'!N$5:N$311,"n",0,1)</f>
        <v>39423</v>
      </c>
      <c r="F135" s="234">
        <f>_xlfn.XLOOKUP($A135,'Change in Proportion Calc'!$A$5:$A$311,'Change in Proportion Calc'!O$5:O$311,"n",0,1)</f>
        <v>39423</v>
      </c>
      <c r="G135" s="234">
        <f>_xlfn.XLOOKUP($A135,'Change in Proportion Calc'!$A$5:$A$311,'Change in Proportion Calc'!P$5:P$311,"n",0,1)</f>
        <v>30356</v>
      </c>
      <c r="H135" s="54"/>
      <c r="I135" s="69">
        <v>-67666</v>
      </c>
      <c r="J135" s="69">
        <v>-67666</v>
      </c>
      <c r="K135" s="69">
        <v>-67666</v>
      </c>
      <c r="L135" s="69">
        <v>-67666</v>
      </c>
      <c r="M135" s="69">
        <v>-62927</v>
      </c>
      <c r="N135" s="54"/>
      <c r="O135" s="69">
        <v>56263</v>
      </c>
      <c r="P135" s="69">
        <v>56263</v>
      </c>
      <c r="Q135" s="69">
        <v>56263</v>
      </c>
      <c r="R135" s="69">
        <v>48951</v>
      </c>
      <c r="S135" s="69"/>
      <c r="T135" s="69">
        <v>-9629</v>
      </c>
      <c r="U135" s="69">
        <v>-9629</v>
      </c>
      <c r="V135" s="69">
        <v>-8572</v>
      </c>
      <c r="W135" s="54"/>
      <c r="X135" s="69">
        <v>-45597</v>
      </c>
      <c r="Y135" s="69">
        <v>-44685</v>
      </c>
      <c r="Z135" s="54"/>
      <c r="AA135" s="108">
        <v>48135</v>
      </c>
      <c r="AB135" s="54"/>
      <c r="AC135" s="108">
        <f>VLOOKUP(A135,'Change in Proportion Calc'!$A$5:$H$311,8,FALSE)+SUMIF($C$5:$AB$5,2026,C135:AB135)</f>
        <v>20929</v>
      </c>
      <c r="AE135" s="107">
        <f t="shared" si="7"/>
        <v>349525</v>
      </c>
      <c r="AF135" s="107">
        <f t="shared" si="8"/>
        <v>328811</v>
      </c>
      <c r="AH135" s="107"/>
      <c r="AI135" s="108"/>
      <c r="AJ135" s="108"/>
      <c r="AK135" s="213">
        <f t="shared" si="5"/>
        <v>29122</v>
      </c>
      <c r="AL135" s="107">
        <f t="shared" si="9"/>
        <v>-26294</v>
      </c>
      <c r="AM135" s="107">
        <f t="shared" si="9"/>
        <v>19448</v>
      </c>
      <c r="AN135" s="107">
        <f t="shared" si="9"/>
        <v>20708</v>
      </c>
      <c r="AO135" s="107">
        <f t="shared" si="9"/>
        <v>-23504</v>
      </c>
      <c r="AP135" s="107">
        <f t="shared" si="9"/>
        <v>30356</v>
      </c>
    </row>
    <row r="136" spans="1:42">
      <c r="A136" s="51">
        <v>29088</v>
      </c>
      <c r="B136" s="55" t="s">
        <v>124</v>
      </c>
      <c r="C136" s="234">
        <f>_xlfn.XLOOKUP($A136,'Change in Proportion Calc'!$A$5:$A$311,'Change in Proportion Calc'!L$5:L$311,"n",0,1)</f>
        <v>16886</v>
      </c>
      <c r="D136" s="234">
        <f>_xlfn.XLOOKUP($A136,'Change in Proportion Calc'!$A$5:$A$311,'Change in Proportion Calc'!M$5:M$311,"n",0,1)</f>
        <v>16886</v>
      </c>
      <c r="E136" s="234">
        <f>_xlfn.XLOOKUP($A136,'Change in Proportion Calc'!$A$5:$A$311,'Change in Proportion Calc'!N$5:N$311,"n",0,1)</f>
        <v>16886</v>
      </c>
      <c r="F136" s="234">
        <f>_xlfn.XLOOKUP($A136,'Change in Proportion Calc'!$A$5:$A$311,'Change in Proportion Calc'!O$5:O$311,"n",0,1)</f>
        <v>16886</v>
      </c>
      <c r="G136" s="234">
        <f>_xlfn.XLOOKUP($A136,'Change in Proportion Calc'!$A$5:$A$311,'Change in Proportion Calc'!P$5:P$311,"n",0,1)</f>
        <v>13000</v>
      </c>
      <c r="H136" s="54"/>
      <c r="I136" s="69">
        <v>-33404</v>
      </c>
      <c r="J136" s="69">
        <v>-33404</v>
      </c>
      <c r="K136" s="69">
        <v>-33404</v>
      </c>
      <c r="L136" s="69">
        <v>-33404</v>
      </c>
      <c r="M136" s="69">
        <v>-31066</v>
      </c>
      <c r="N136" s="54"/>
      <c r="O136" s="69">
        <v>26953</v>
      </c>
      <c r="P136" s="69">
        <v>26953</v>
      </c>
      <c r="Q136" s="69">
        <v>26953</v>
      </c>
      <c r="R136" s="69">
        <v>23448</v>
      </c>
      <c r="S136" s="69"/>
      <c r="T136" s="69">
        <v>6709</v>
      </c>
      <c r="U136" s="69">
        <v>6709</v>
      </c>
      <c r="V136" s="69">
        <v>5973</v>
      </c>
      <c r="W136" s="54"/>
      <c r="X136" s="69">
        <v>-1620</v>
      </c>
      <c r="Y136" s="69">
        <v>-1586</v>
      </c>
      <c r="Z136" s="54"/>
      <c r="AA136" s="108">
        <v>-49398</v>
      </c>
      <c r="AB136" s="54"/>
      <c r="AC136" s="108">
        <f>VLOOKUP(A136,'Change in Proportion Calc'!$A$5:$H$311,8,FALSE)+SUMIF($C$5:$AB$5,2026,C136:AB136)</f>
        <v>-33874</v>
      </c>
      <c r="AE136" s="107">
        <f t="shared" si="7"/>
        <v>170580</v>
      </c>
      <c r="AF136" s="107">
        <f t="shared" si="8"/>
        <v>132864</v>
      </c>
      <c r="AH136" s="107"/>
      <c r="AI136" s="108"/>
      <c r="AJ136" s="108"/>
      <c r="AK136" s="213">
        <f t="shared" ref="AK136:AK199" si="10">+A136</f>
        <v>29088</v>
      </c>
      <c r="AL136" s="107">
        <f t="shared" si="9"/>
        <v>15558</v>
      </c>
      <c r="AM136" s="107">
        <f t="shared" si="9"/>
        <v>16408</v>
      </c>
      <c r="AN136" s="107">
        <f t="shared" si="9"/>
        <v>6930</v>
      </c>
      <c r="AO136" s="107">
        <f t="shared" si="9"/>
        <v>-14180</v>
      </c>
      <c r="AP136" s="107">
        <f t="shared" si="9"/>
        <v>13000</v>
      </c>
    </row>
    <row r="137" spans="1:42">
      <c r="A137" s="53">
        <v>7337</v>
      </c>
      <c r="B137" s="54" t="s">
        <v>125</v>
      </c>
      <c r="C137" s="234">
        <f>_xlfn.XLOOKUP($A137,'Change in Proportion Calc'!$A$5:$A$311,'Change in Proportion Calc'!L$5:L$311,"n",0,1)</f>
        <v>4465</v>
      </c>
      <c r="D137" s="234">
        <f>_xlfn.XLOOKUP($A137,'Change in Proportion Calc'!$A$5:$A$311,'Change in Proportion Calc'!M$5:M$311,"n",0,1)</f>
        <v>4465</v>
      </c>
      <c r="E137" s="234">
        <f>_xlfn.XLOOKUP($A137,'Change in Proportion Calc'!$A$5:$A$311,'Change in Proportion Calc'!N$5:N$311,"n",0,1)</f>
        <v>4465</v>
      </c>
      <c r="F137" s="234">
        <f>_xlfn.XLOOKUP($A137,'Change in Proportion Calc'!$A$5:$A$311,'Change in Proportion Calc'!O$5:O$311,"n",0,1)</f>
        <v>4465</v>
      </c>
      <c r="G137" s="234">
        <f>_xlfn.XLOOKUP($A137,'Change in Proportion Calc'!$A$5:$A$311,'Change in Proportion Calc'!P$5:P$311,"n",0,1)</f>
        <v>3436</v>
      </c>
      <c r="H137" s="54"/>
      <c r="I137" s="69">
        <v>-32739</v>
      </c>
      <c r="J137" s="69">
        <v>-32739</v>
      </c>
      <c r="K137" s="69">
        <v>-32739</v>
      </c>
      <c r="L137" s="69">
        <v>-32739</v>
      </c>
      <c r="M137" s="69">
        <v>-30446</v>
      </c>
      <c r="N137" s="54"/>
      <c r="O137" s="69">
        <v>9930</v>
      </c>
      <c r="P137" s="69">
        <v>9930</v>
      </c>
      <c r="Q137" s="69">
        <v>9930</v>
      </c>
      <c r="R137" s="69">
        <v>8641</v>
      </c>
      <c r="S137" s="69"/>
      <c r="T137" s="69">
        <v>7991</v>
      </c>
      <c r="U137" s="69">
        <v>7991</v>
      </c>
      <c r="V137" s="69">
        <v>7113</v>
      </c>
      <c r="W137" s="54"/>
      <c r="X137" s="69">
        <v>-18951</v>
      </c>
      <c r="Y137" s="69">
        <v>-18574</v>
      </c>
      <c r="Z137" s="54"/>
      <c r="AA137" s="108">
        <v>-21457</v>
      </c>
      <c r="AB137" s="54"/>
      <c r="AC137" s="108">
        <f>VLOOKUP(A137,'Change in Proportion Calc'!$A$5:$H$311,8,FALSE)+SUMIF($C$5:$AB$5,2026,C137:AB137)</f>
        <v>-50761</v>
      </c>
      <c r="AE137" s="107">
        <f t="shared" ref="AE137:AE200" si="11">IF(SUM(C137:G137)&gt;0,SUM(C137:G137))+IF(SUM(J137:M137)&gt;0,SUM(J137:M137),0)+IF(SUM(U137:V137)&gt;0,SUM(U137:V137),0)+IF(SUM(Y137)&gt;0,SUM(Y137),0)+IF(SUM(P137:R137)&gt;0,SUM(P137:R137),0)</f>
        <v>64901</v>
      </c>
      <c r="AF137" s="107">
        <f t="shared" ref="AF137:AF200" si="12">+IF(SUM(C137:G137)&lt;0,-SUM(C137:G137),0)+IF(SUM(J137:M137)&lt;0,-SUM(J137:M137),0)+IF(SUM(U137:V137)&lt;0,-SUM(U137:V137),0)+IF(SUM(Y137)&lt;0,-SUM(Y137),0)+IF(SUM(P137:R137)&lt;0,-SUM(P137:R137),0)</f>
        <v>147237</v>
      </c>
      <c r="AH137" s="107"/>
      <c r="AI137" s="108"/>
      <c r="AJ137" s="108"/>
      <c r="AK137" s="213">
        <f t="shared" si="10"/>
        <v>7337</v>
      </c>
      <c r="AL137" s="107">
        <f t="shared" si="9"/>
        <v>-28927</v>
      </c>
      <c r="AM137" s="107">
        <f t="shared" si="9"/>
        <v>-11231</v>
      </c>
      <c r="AN137" s="107">
        <f t="shared" si="9"/>
        <v>-19633</v>
      </c>
      <c r="AO137" s="107">
        <f t="shared" si="9"/>
        <v>-25981</v>
      </c>
      <c r="AP137" s="107">
        <f t="shared" si="9"/>
        <v>3436</v>
      </c>
    </row>
    <row r="138" spans="1:42">
      <c r="A138" s="51">
        <v>2329</v>
      </c>
      <c r="B138" s="55" t="s">
        <v>126</v>
      </c>
      <c r="C138" s="234">
        <f>_xlfn.XLOOKUP($A138,'Change in Proportion Calc'!$A$5:$A$311,'Change in Proportion Calc'!L$5:L$311,"n",0,1)</f>
        <v>-30545</v>
      </c>
      <c r="D138" s="234">
        <f>_xlfn.XLOOKUP($A138,'Change in Proportion Calc'!$A$5:$A$311,'Change in Proportion Calc'!M$5:M$311,"n",0,1)</f>
        <v>-30545</v>
      </c>
      <c r="E138" s="234">
        <f>_xlfn.XLOOKUP($A138,'Change in Proportion Calc'!$A$5:$A$311,'Change in Proportion Calc'!N$5:N$311,"n",0,1)</f>
        <v>-30545</v>
      </c>
      <c r="F138" s="234">
        <f>_xlfn.XLOOKUP($A138,'Change in Proportion Calc'!$A$5:$A$311,'Change in Proportion Calc'!O$5:O$311,"n",0,1)</f>
        <v>-30545</v>
      </c>
      <c r="G138" s="234">
        <f>_xlfn.XLOOKUP($A138,'Change in Proportion Calc'!$A$5:$A$311,'Change in Proportion Calc'!P$5:P$311,"n",0,1)</f>
        <v>-23518</v>
      </c>
      <c r="H138" s="54"/>
      <c r="I138" s="69">
        <v>-16847</v>
      </c>
      <c r="J138" s="69">
        <v>-16847</v>
      </c>
      <c r="K138" s="69">
        <v>-16847</v>
      </c>
      <c r="L138" s="69">
        <v>-16847</v>
      </c>
      <c r="M138" s="69">
        <v>-15668</v>
      </c>
      <c r="N138" s="54"/>
      <c r="O138" s="69">
        <v>-50556</v>
      </c>
      <c r="P138" s="69">
        <v>-50556</v>
      </c>
      <c r="Q138" s="69">
        <v>-50556</v>
      </c>
      <c r="R138" s="69">
        <v>-43986</v>
      </c>
      <c r="S138" s="69"/>
      <c r="T138" s="69">
        <v>18685</v>
      </c>
      <c r="U138" s="69">
        <v>18685</v>
      </c>
      <c r="V138" s="69">
        <v>16629</v>
      </c>
      <c r="W138" s="54"/>
      <c r="X138" s="69">
        <v>11987</v>
      </c>
      <c r="Y138" s="69">
        <v>11745</v>
      </c>
      <c r="Z138" s="54"/>
      <c r="AA138" s="108">
        <v>-127911</v>
      </c>
      <c r="AB138" s="54"/>
      <c r="AC138" s="108">
        <f>VLOOKUP(A138,'Change in Proportion Calc'!$A$5:$H$311,8,FALSE)+SUMIF($C$5:$AB$5,2026,C138:AB138)</f>
        <v>-195187</v>
      </c>
      <c r="AE138" s="107">
        <f t="shared" si="11"/>
        <v>47059</v>
      </c>
      <c r="AF138" s="107">
        <f t="shared" si="12"/>
        <v>357005</v>
      </c>
      <c r="AH138" s="107"/>
      <c r="AI138" s="108"/>
      <c r="AJ138" s="108"/>
      <c r="AK138" s="213">
        <f t="shared" si="10"/>
        <v>2329</v>
      </c>
      <c r="AL138" s="107">
        <f t="shared" si="9"/>
        <v>-67518</v>
      </c>
      <c r="AM138" s="107">
        <f t="shared" si="9"/>
        <v>-81319</v>
      </c>
      <c r="AN138" s="107">
        <f t="shared" si="9"/>
        <v>-91378</v>
      </c>
      <c r="AO138" s="107">
        <f t="shared" si="9"/>
        <v>-46213</v>
      </c>
      <c r="AP138" s="107">
        <f t="shared" si="9"/>
        <v>-23518</v>
      </c>
    </row>
    <row r="139" spans="1:42">
      <c r="A139" s="53">
        <v>2343</v>
      </c>
      <c r="B139" s="54" t="s">
        <v>127</v>
      </c>
      <c r="C139" s="234">
        <f>_xlfn.XLOOKUP($A139,'Change in Proportion Calc'!$A$5:$A$311,'Change in Proportion Calc'!L$5:L$311,"n",0,1)</f>
        <v>-74182</v>
      </c>
      <c r="D139" s="234">
        <f>_xlfn.XLOOKUP($A139,'Change in Proportion Calc'!$A$5:$A$311,'Change in Proportion Calc'!M$5:M$311,"n",0,1)</f>
        <v>-74182</v>
      </c>
      <c r="E139" s="234">
        <f>_xlfn.XLOOKUP($A139,'Change in Proportion Calc'!$A$5:$A$311,'Change in Proportion Calc'!N$5:N$311,"n",0,1)</f>
        <v>-74182</v>
      </c>
      <c r="F139" s="234">
        <f>_xlfn.XLOOKUP($A139,'Change in Proportion Calc'!$A$5:$A$311,'Change in Proportion Calc'!O$5:O$311,"n",0,1)</f>
        <v>-74182</v>
      </c>
      <c r="G139" s="234">
        <f>_xlfn.XLOOKUP($A139,'Change in Proportion Calc'!$A$5:$A$311,'Change in Proportion Calc'!P$5:P$311,"n",0,1)</f>
        <v>-57121</v>
      </c>
      <c r="H139" s="54"/>
      <c r="I139" s="69">
        <v>24004</v>
      </c>
      <c r="J139" s="69">
        <v>24004</v>
      </c>
      <c r="K139" s="69">
        <v>24004</v>
      </c>
      <c r="L139" s="69">
        <v>24004</v>
      </c>
      <c r="M139" s="69">
        <v>22326</v>
      </c>
      <c r="N139" s="54"/>
      <c r="O139" s="69">
        <v>75517</v>
      </c>
      <c r="P139" s="69">
        <v>75517</v>
      </c>
      <c r="Q139" s="69">
        <v>75517</v>
      </c>
      <c r="R139" s="69">
        <v>65702</v>
      </c>
      <c r="S139" s="69"/>
      <c r="T139" s="69">
        <v>-23325</v>
      </c>
      <c r="U139" s="69">
        <v>-23325</v>
      </c>
      <c r="V139" s="69">
        <v>-20757</v>
      </c>
      <c r="W139" s="54"/>
      <c r="X139" s="69">
        <v>23487</v>
      </c>
      <c r="Y139" s="69">
        <v>23017</v>
      </c>
      <c r="Z139" s="54"/>
      <c r="AA139" s="108">
        <v>-21796</v>
      </c>
      <c r="AB139" s="54"/>
      <c r="AC139" s="108">
        <f>VLOOKUP(A139,'Change in Proportion Calc'!$A$5:$H$311,8,FALSE)+SUMIF($C$5:$AB$5,2026,C139:AB139)</f>
        <v>3705</v>
      </c>
      <c r="AE139" s="107">
        <f t="shared" si="11"/>
        <v>334091</v>
      </c>
      <c r="AF139" s="107">
        <f t="shared" si="12"/>
        <v>397931</v>
      </c>
      <c r="AH139" s="107"/>
      <c r="AI139" s="108"/>
      <c r="AJ139" s="108"/>
      <c r="AK139" s="213">
        <f t="shared" si="10"/>
        <v>2343</v>
      </c>
      <c r="AL139" s="107">
        <f t="shared" si="9"/>
        <v>25031</v>
      </c>
      <c r="AM139" s="107">
        <f t="shared" si="9"/>
        <v>4582</v>
      </c>
      <c r="AN139" s="107">
        <f t="shared" si="9"/>
        <v>15524</v>
      </c>
      <c r="AO139" s="107">
        <f t="shared" si="9"/>
        <v>-51856</v>
      </c>
      <c r="AP139" s="107">
        <f t="shared" si="9"/>
        <v>-57121</v>
      </c>
    </row>
    <row r="140" spans="1:42">
      <c r="A140" s="53">
        <v>4010</v>
      </c>
      <c r="B140" s="54" t="s">
        <v>129</v>
      </c>
      <c r="C140" s="234">
        <f>_xlfn.XLOOKUP($A140,'Change in Proportion Calc'!$A$5:$A$311,'Change in Proportion Calc'!L$5:L$311,"n",0,1)</f>
        <v>-1766</v>
      </c>
      <c r="D140" s="234">
        <f>_xlfn.XLOOKUP($A140,'Change in Proportion Calc'!$A$5:$A$311,'Change in Proportion Calc'!M$5:M$311,"n",0,1)</f>
        <v>-1766</v>
      </c>
      <c r="E140" s="234">
        <f>_xlfn.XLOOKUP($A140,'Change in Proportion Calc'!$A$5:$A$311,'Change in Proportion Calc'!N$5:N$311,"n",0,1)</f>
        <v>-1766</v>
      </c>
      <c r="F140" s="234">
        <f>_xlfn.XLOOKUP($A140,'Change in Proportion Calc'!$A$5:$A$311,'Change in Proportion Calc'!O$5:O$311,"n",0,1)</f>
        <v>-1766</v>
      </c>
      <c r="G140" s="234">
        <f>_xlfn.XLOOKUP($A140,'Change in Proportion Calc'!$A$5:$A$311,'Change in Proportion Calc'!P$5:P$311,"n",0,1)</f>
        <v>-1359</v>
      </c>
      <c r="H140" s="54"/>
      <c r="I140" s="69">
        <v>8987</v>
      </c>
      <c r="J140" s="69">
        <v>8987</v>
      </c>
      <c r="K140" s="69">
        <v>8987</v>
      </c>
      <c r="L140" s="69">
        <v>8987</v>
      </c>
      <c r="M140" s="69">
        <v>8359</v>
      </c>
      <c r="N140" s="54"/>
      <c r="O140" s="69">
        <v>2538</v>
      </c>
      <c r="P140" s="69">
        <v>2538</v>
      </c>
      <c r="Q140" s="69">
        <v>2538</v>
      </c>
      <c r="R140" s="69">
        <v>2210</v>
      </c>
      <c r="S140" s="69"/>
      <c r="T140" s="69">
        <v>19221</v>
      </c>
      <c r="U140" s="69">
        <v>19221</v>
      </c>
      <c r="V140" s="69">
        <v>17109</v>
      </c>
      <c r="W140" s="54"/>
      <c r="X140" s="69">
        <v>5183</v>
      </c>
      <c r="Y140" s="69">
        <v>5081</v>
      </c>
      <c r="Z140" s="54"/>
      <c r="AA140" s="108">
        <v>10100</v>
      </c>
      <c r="AB140" s="54"/>
      <c r="AC140" s="108">
        <f>VLOOKUP(A140,'Change in Proportion Calc'!$A$5:$H$311,8,FALSE)+SUMIF($C$5:$AB$5,2026,C140:AB140)</f>
        <v>44263</v>
      </c>
      <c r="AE140" s="107">
        <f t="shared" si="11"/>
        <v>84017</v>
      </c>
      <c r="AF140" s="107">
        <f t="shared" si="12"/>
        <v>8423</v>
      </c>
      <c r="AH140" s="107"/>
      <c r="AI140" s="108"/>
      <c r="AJ140" s="108"/>
      <c r="AK140" s="213">
        <f t="shared" si="10"/>
        <v>4010</v>
      </c>
      <c r="AL140" s="107">
        <f t="shared" si="9"/>
        <v>34061</v>
      </c>
      <c r="AM140" s="107">
        <f t="shared" si="9"/>
        <v>26868</v>
      </c>
      <c r="AN140" s="107">
        <f t="shared" si="9"/>
        <v>9431</v>
      </c>
      <c r="AO140" s="107">
        <f t="shared" si="9"/>
        <v>6593</v>
      </c>
      <c r="AP140" s="107">
        <f t="shared" si="9"/>
        <v>-1359</v>
      </c>
    </row>
    <row r="141" spans="1:42">
      <c r="A141" s="51">
        <v>7023</v>
      </c>
      <c r="B141" s="55" t="s">
        <v>130</v>
      </c>
      <c r="C141" s="234">
        <f>_xlfn.XLOOKUP($A141,'Change in Proportion Calc'!$A$5:$A$311,'Change in Proportion Calc'!L$5:L$311,"n",0,1)</f>
        <v>-288615</v>
      </c>
      <c r="D141" s="234">
        <f>_xlfn.XLOOKUP($A141,'Change in Proportion Calc'!$A$5:$A$311,'Change in Proportion Calc'!M$5:M$311,"n",0,1)</f>
        <v>-288615</v>
      </c>
      <c r="E141" s="234">
        <f>_xlfn.XLOOKUP($A141,'Change in Proportion Calc'!$A$5:$A$311,'Change in Proportion Calc'!N$5:N$311,"n",0,1)</f>
        <v>-288615</v>
      </c>
      <c r="F141" s="234">
        <f>_xlfn.XLOOKUP($A141,'Change in Proportion Calc'!$A$5:$A$311,'Change in Proportion Calc'!O$5:O$311,"n",0,1)</f>
        <v>-288615</v>
      </c>
      <c r="G141" s="234">
        <f>_xlfn.XLOOKUP($A141,'Change in Proportion Calc'!$A$5:$A$311,'Change in Proportion Calc'!P$5:P$311,"n",0,1)</f>
        <v>-222234</v>
      </c>
      <c r="H141" s="54"/>
      <c r="I141" s="69">
        <v>-589245</v>
      </c>
      <c r="J141" s="69">
        <v>-589245</v>
      </c>
      <c r="K141" s="69">
        <v>-589245</v>
      </c>
      <c r="L141" s="69">
        <v>-589245</v>
      </c>
      <c r="M141" s="69">
        <v>-547998</v>
      </c>
      <c r="N141" s="54"/>
      <c r="O141" s="69">
        <v>1027426</v>
      </c>
      <c r="P141" s="69">
        <v>1027426</v>
      </c>
      <c r="Q141" s="69">
        <v>1027426</v>
      </c>
      <c r="R141" s="69">
        <v>893860</v>
      </c>
      <c r="S141" s="69"/>
      <c r="T141" s="69">
        <v>647445</v>
      </c>
      <c r="U141" s="69">
        <v>647445</v>
      </c>
      <c r="V141" s="69">
        <v>576228</v>
      </c>
      <c r="W141" s="54"/>
      <c r="X141" s="69">
        <v>420173</v>
      </c>
      <c r="Y141" s="69">
        <v>411771</v>
      </c>
      <c r="Z141" s="54"/>
      <c r="AA141" s="108">
        <v>165863</v>
      </c>
      <c r="AB141" s="54"/>
      <c r="AC141" s="108">
        <f>VLOOKUP(A141,'Change in Proportion Calc'!$A$5:$H$311,8,FALSE)+SUMIF($C$5:$AB$5,2026,C141:AB141)</f>
        <v>1383047</v>
      </c>
      <c r="AE141" s="107">
        <f t="shared" si="11"/>
        <v>4584156</v>
      </c>
      <c r="AF141" s="107">
        <f t="shared" si="12"/>
        <v>3692427</v>
      </c>
      <c r="AH141" s="107"/>
      <c r="AI141" s="108"/>
      <c r="AJ141" s="108"/>
      <c r="AK141" s="213">
        <f t="shared" si="10"/>
        <v>7023</v>
      </c>
      <c r="AL141" s="107">
        <f t="shared" si="9"/>
        <v>1208782</v>
      </c>
      <c r="AM141" s="107">
        <f t="shared" si="9"/>
        <v>725794</v>
      </c>
      <c r="AN141" s="107">
        <f t="shared" si="9"/>
        <v>16000</v>
      </c>
      <c r="AO141" s="107">
        <f t="shared" si="9"/>
        <v>-836613</v>
      </c>
      <c r="AP141" s="107">
        <f t="shared" si="9"/>
        <v>-222234</v>
      </c>
    </row>
    <row r="142" spans="1:42">
      <c r="A142" s="53">
        <v>7338</v>
      </c>
      <c r="B142" s="54" t="s">
        <v>131</v>
      </c>
      <c r="C142" s="234">
        <f>_xlfn.XLOOKUP($A142,'Change in Proportion Calc'!$A$5:$A$311,'Change in Proportion Calc'!L$5:L$311,"n",0,1)</f>
        <v>1334</v>
      </c>
      <c r="D142" s="234">
        <f>_xlfn.XLOOKUP($A142,'Change in Proportion Calc'!$A$5:$A$311,'Change in Proportion Calc'!M$5:M$311,"n",0,1)</f>
        <v>1334</v>
      </c>
      <c r="E142" s="234">
        <f>_xlfn.XLOOKUP($A142,'Change in Proportion Calc'!$A$5:$A$311,'Change in Proportion Calc'!N$5:N$311,"n",0,1)</f>
        <v>1334</v>
      </c>
      <c r="F142" s="234">
        <f>_xlfn.XLOOKUP($A142,'Change in Proportion Calc'!$A$5:$A$311,'Change in Proportion Calc'!O$5:O$311,"n",0,1)</f>
        <v>1334</v>
      </c>
      <c r="G142" s="234">
        <f>_xlfn.XLOOKUP($A142,'Change in Proportion Calc'!$A$5:$A$311,'Change in Proportion Calc'!P$5:P$311,"n",0,1)</f>
        <v>1027</v>
      </c>
      <c r="H142" s="54"/>
      <c r="I142" s="69">
        <v>3356</v>
      </c>
      <c r="J142" s="69">
        <v>3356</v>
      </c>
      <c r="K142" s="69">
        <v>3356</v>
      </c>
      <c r="L142" s="69">
        <v>3356</v>
      </c>
      <c r="M142" s="69">
        <v>3122</v>
      </c>
      <c r="N142" s="54"/>
      <c r="O142" s="69">
        <v>-32777</v>
      </c>
      <c r="P142" s="69">
        <v>-32777</v>
      </c>
      <c r="Q142" s="69">
        <v>-32777</v>
      </c>
      <c r="R142" s="69">
        <v>-28516</v>
      </c>
      <c r="S142" s="69"/>
      <c r="T142" s="69">
        <v>-2678</v>
      </c>
      <c r="U142" s="69">
        <v>-2678</v>
      </c>
      <c r="V142" s="69">
        <v>-2381</v>
      </c>
      <c r="W142" s="54"/>
      <c r="X142" s="69">
        <v>9314</v>
      </c>
      <c r="Y142" s="69">
        <v>9126</v>
      </c>
      <c r="Z142" s="54"/>
      <c r="AA142" s="108">
        <v>254</v>
      </c>
      <c r="AB142" s="54"/>
      <c r="AC142" s="108">
        <f>VLOOKUP(A142,'Change in Proportion Calc'!$A$5:$H$311,8,FALSE)+SUMIF($C$5:$AB$5,2026,C142:AB142)</f>
        <v>-21197</v>
      </c>
      <c r="AE142" s="107">
        <f t="shared" si="11"/>
        <v>28679</v>
      </c>
      <c r="AF142" s="107">
        <f t="shared" si="12"/>
        <v>99129</v>
      </c>
      <c r="AH142" s="107"/>
      <c r="AI142" s="108"/>
      <c r="AJ142" s="108"/>
      <c r="AK142" s="213">
        <f t="shared" si="10"/>
        <v>7338</v>
      </c>
      <c r="AL142" s="107">
        <f t="shared" si="9"/>
        <v>-21639</v>
      </c>
      <c r="AM142" s="107">
        <f t="shared" si="9"/>
        <v>-30468</v>
      </c>
      <c r="AN142" s="107">
        <f t="shared" si="9"/>
        <v>-23826</v>
      </c>
      <c r="AO142" s="107">
        <f t="shared" si="9"/>
        <v>4456</v>
      </c>
      <c r="AP142" s="107">
        <f t="shared" si="9"/>
        <v>1027</v>
      </c>
    </row>
    <row r="143" spans="1:42">
      <c r="A143" s="51">
        <v>12037</v>
      </c>
      <c r="B143" s="55" t="s">
        <v>132</v>
      </c>
      <c r="C143" s="234">
        <f>_xlfn.XLOOKUP($A143,'Change in Proportion Calc'!$A$5:$A$311,'Change in Proportion Calc'!L$5:L$311,"n",0,1)</f>
        <v>-87596</v>
      </c>
      <c r="D143" s="234">
        <f>_xlfn.XLOOKUP($A143,'Change in Proportion Calc'!$A$5:$A$311,'Change in Proportion Calc'!M$5:M$311,"n",0,1)</f>
        <v>-87596</v>
      </c>
      <c r="E143" s="234">
        <f>_xlfn.XLOOKUP($A143,'Change in Proportion Calc'!$A$5:$A$311,'Change in Proportion Calc'!N$5:N$311,"n",0,1)</f>
        <v>-87596</v>
      </c>
      <c r="F143" s="234">
        <f>_xlfn.XLOOKUP($A143,'Change in Proportion Calc'!$A$5:$A$311,'Change in Proportion Calc'!O$5:O$311,"n",0,1)</f>
        <v>-87596</v>
      </c>
      <c r="G143" s="234">
        <f>_xlfn.XLOOKUP($A143,'Change in Proportion Calc'!$A$5:$A$311,'Change in Proportion Calc'!P$5:P$311,"n",0,1)</f>
        <v>-67451</v>
      </c>
      <c r="H143" s="54"/>
      <c r="I143" s="69">
        <v>-6533</v>
      </c>
      <c r="J143" s="69">
        <v>-6533</v>
      </c>
      <c r="K143" s="69">
        <v>-6533</v>
      </c>
      <c r="L143" s="69">
        <v>-6533</v>
      </c>
      <c r="M143" s="69">
        <v>-6075</v>
      </c>
      <c r="N143" s="54"/>
      <c r="O143" s="69">
        <v>-17960</v>
      </c>
      <c r="P143" s="69">
        <v>-17960</v>
      </c>
      <c r="Q143" s="69">
        <v>-17960</v>
      </c>
      <c r="R143" s="69">
        <v>-15623</v>
      </c>
      <c r="S143" s="69"/>
      <c r="T143" s="69">
        <v>-39954</v>
      </c>
      <c r="U143" s="69">
        <v>-39954</v>
      </c>
      <c r="V143" s="69">
        <v>-35560</v>
      </c>
      <c r="W143" s="54"/>
      <c r="X143" s="69">
        <v>-14092</v>
      </c>
      <c r="Y143" s="69">
        <v>-13811</v>
      </c>
      <c r="Z143" s="54"/>
      <c r="AA143" s="108">
        <v>19104</v>
      </c>
      <c r="AB143" s="54"/>
      <c r="AC143" s="108">
        <f>VLOOKUP(A143,'Change in Proportion Calc'!$A$5:$H$311,8,FALSE)+SUMIF($C$5:$AB$5,2026,C143:AB143)</f>
        <v>-147031</v>
      </c>
      <c r="AE143" s="107">
        <f t="shared" si="11"/>
        <v>0</v>
      </c>
      <c r="AF143" s="107">
        <f t="shared" si="12"/>
        <v>584377</v>
      </c>
      <c r="AH143" s="107"/>
      <c r="AI143" s="108"/>
      <c r="AJ143" s="108"/>
      <c r="AK143" s="213">
        <f t="shared" si="10"/>
        <v>12037</v>
      </c>
      <c r="AL143" s="107">
        <f t="shared" si="9"/>
        <v>-165854</v>
      </c>
      <c r="AM143" s="107">
        <f t="shared" si="9"/>
        <v>-147649</v>
      </c>
      <c r="AN143" s="107">
        <f t="shared" si="9"/>
        <v>-109752</v>
      </c>
      <c r="AO143" s="107">
        <f t="shared" si="9"/>
        <v>-93671</v>
      </c>
      <c r="AP143" s="107">
        <f t="shared" si="9"/>
        <v>-67451</v>
      </c>
    </row>
    <row r="144" spans="1:42">
      <c r="A144" s="53">
        <v>3150</v>
      </c>
      <c r="B144" s="54" t="s">
        <v>133</v>
      </c>
      <c r="C144" s="234">
        <f>_xlfn.XLOOKUP($A144,'Change in Proportion Calc'!$A$5:$A$311,'Change in Proportion Calc'!L$5:L$311,"n",0,1)</f>
        <v>10915</v>
      </c>
      <c r="D144" s="234">
        <f>_xlfn.XLOOKUP($A144,'Change in Proportion Calc'!$A$5:$A$311,'Change in Proportion Calc'!M$5:M$311,"n",0,1)</f>
        <v>10915</v>
      </c>
      <c r="E144" s="234">
        <f>_xlfn.XLOOKUP($A144,'Change in Proportion Calc'!$A$5:$A$311,'Change in Proportion Calc'!N$5:N$311,"n",0,1)</f>
        <v>10915</v>
      </c>
      <c r="F144" s="234">
        <f>_xlfn.XLOOKUP($A144,'Change in Proportion Calc'!$A$5:$A$311,'Change in Proportion Calc'!O$5:O$311,"n",0,1)</f>
        <v>10915</v>
      </c>
      <c r="G144" s="234">
        <f>_xlfn.XLOOKUP($A144,'Change in Proportion Calc'!$A$5:$A$311,'Change in Proportion Calc'!P$5:P$311,"n",0,1)</f>
        <v>8406</v>
      </c>
      <c r="H144" s="54"/>
      <c r="I144" s="69">
        <v>219154</v>
      </c>
      <c r="J144" s="69">
        <v>219154</v>
      </c>
      <c r="K144" s="69">
        <v>219154</v>
      </c>
      <c r="L144" s="69">
        <v>219154</v>
      </c>
      <c r="M144" s="69">
        <v>203815</v>
      </c>
      <c r="N144" s="54"/>
      <c r="O144" s="69">
        <v>-185811</v>
      </c>
      <c r="P144" s="69">
        <v>-185811</v>
      </c>
      <c r="Q144" s="69">
        <v>-185811</v>
      </c>
      <c r="R144" s="69">
        <v>-161658</v>
      </c>
      <c r="S144" s="69"/>
      <c r="T144" s="69">
        <v>358926</v>
      </c>
      <c r="U144" s="69">
        <v>358926</v>
      </c>
      <c r="V144" s="69">
        <v>319444</v>
      </c>
      <c r="W144" s="54"/>
      <c r="X144" s="69">
        <v>-65115</v>
      </c>
      <c r="Y144" s="69">
        <v>-63815</v>
      </c>
      <c r="Z144" s="54"/>
      <c r="AA144" s="108">
        <v>-199355</v>
      </c>
      <c r="AB144" s="54"/>
      <c r="AC144" s="108">
        <f>VLOOKUP(A144,'Change in Proportion Calc'!$A$5:$H$311,8,FALSE)+SUMIF($C$5:$AB$5,2026,C144:AB144)</f>
        <v>138714</v>
      </c>
      <c r="AE144" s="107">
        <f t="shared" si="11"/>
        <v>1591713</v>
      </c>
      <c r="AF144" s="107">
        <f t="shared" si="12"/>
        <v>597095</v>
      </c>
      <c r="AH144" s="107"/>
      <c r="AI144" s="108"/>
      <c r="AJ144" s="108"/>
      <c r="AK144" s="213">
        <f t="shared" si="10"/>
        <v>3150</v>
      </c>
      <c r="AL144" s="107">
        <f t="shared" si="9"/>
        <v>339369</v>
      </c>
      <c r="AM144" s="107">
        <f t="shared" si="9"/>
        <v>363702</v>
      </c>
      <c r="AN144" s="107">
        <f t="shared" si="9"/>
        <v>68411</v>
      </c>
      <c r="AO144" s="107">
        <f t="shared" si="9"/>
        <v>214730</v>
      </c>
      <c r="AP144" s="107">
        <f t="shared" si="9"/>
        <v>8406</v>
      </c>
    </row>
    <row r="145" spans="1:42">
      <c r="A145" s="51">
        <v>3160</v>
      </c>
      <c r="B145" s="55" t="s">
        <v>134</v>
      </c>
      <c r="C145" s="234">
        <f>_xlfn.XLOOKUP($A145,'Change in Proportion Calc'!$A$5:$A$311,'Change in Proportion Calc'!L$5:L$311,"n",0,1)</f>
        <v>-25697</v>
      </c>
      <c r="D145" s="234">
        <f>_xlfn.XLOOKUP($A145,'Change in Proportion Calc'!$A$5:$A$311,'Change in Proportion Calc'!M$5:M$311,"n",0,1)</f>
        <v>-25697</v>
      </c>
      <c r="E145" s="234">
        <f>_xlfn.XLOOKUP($A145,'Change in Proportion Calc'!$A$5:$A$311,'Change in Proportion Calc'!N$5:N$311,"n",0,1)</f>
        <v>-25697</v>
      </c>
      <c r="F145" s="234">
        <f>_xlfn.XLOOKUP($A145,'Change in Proportion Calc'!$A$5:$A$311,'Change in Proportion Calc'!O$5:O$311,"n",0,1)</f>
        <v>-25697</v>
      </c>
      <c r="G145" s="234">
        <f>_xlfn.XLOOKUP($A145,'Change in Proportion Calc'!$A$5:$A$311,'Change in Proportion Calc'!P$5:P$311,"n",0,1)</f>
        <v>-19788</v>
      </c>
      <c r="H145" s="54"/>
      <c r="I145" s="69">
        <v>9260</v>
      </c>
      <c r="J145" s="69">
        <v>9260</v>
      </c>
      <c r="K145" s="69">
        <v>9260</v>
      </c>
      <c r="L145" s="69">
        <v>9260</v>
      </c>
      <c r="M145" s="69">
        <v>8609</v>
      </c>
      <c r="N145" s="54"/>
      <c r="O145" s="69">
        <v>-49561</v>
      </c>
      <c r="P145" s="69">
        <v>-49561</v>
      </c>
      <c r="Q145" s="69">
        <v>-49561</v>
      </c>
      <c r="R145" s="69">
        <v>-43120</v>
      </c>
      <c r="S145" s="69"/>
      <c r="T145" s="69">
        <v>29462</v>
      </c>
      <c r="U145" s="69">
        <v>29462</v>
      </c>
      <c r="V145" s="69">
        <v>26222</v>
      </c>
      <c r="W145" s="54"/>
      <c r="X145" s="69">
        <v>-6155</v>
      </c>
      <c r="Y145" s="69">
        <v>-6033</v>
      </c>
      <c r="Z145" s="54"/>
      <c r="AA145" s="108">
        <v>-74220</v>
      </c>
      <c r="AB145" s="54"/>
      <c r="AC145" s="108">
        <f>VLOOKUP(A145,'Change in Proportion Calc'!$A$5:$H$311,8,FALSE)+SUMIF($C$5:$AB$5,2026,C145:AB145)</f>
        <v>-116911</v>
      </c>
      <c r="AE145" s="107">
        <f t="shared" si="11"/>
        <v>92073</v>
      </c>
      <c r="AF145" s="107">
        <f t="shared" si="12"/>
        <v>270851</v>
      </c>
      <c r="AH145" s="107"/>
      <c r="AI145" s="108"/>
      <c r="AJ145" s="108"/>
      <c r="AK145" s="213">
        <f t="shared" si="10"/>
        <v>3160</v>
      </c>
      <c r="AL145" s="107">
        <f t="shared" si="9"/>
        <v>-42569</v>
      </c>
      <c r="AM145" s="107">
        <f t="shared" si="9"/>
        <v>-39776</v>
      </c>
      <c r="AN145" s="107">
        <f t="shared" si="9"/>
        <v>-59557</v>
      </c>
      <c r="AO145" s="107">
        <f t="shared" si="9"/>
        <v>-17088</v>
      </c>
      <c r="AP145" s="107">
        <f t="shared" si="9"/>
        <v>-19788</v>
      </c>
    </row>
    <row r="146" spans="1:42">
      <c r="A146" s="51">
        <v>10120</v>
      </c>
      <c r="B146" s="55" t="s">
        <v>135</v>
      </c>
      <c r="C146" s="234">
        <f>_xlfn.XLOOKUP($A146,'Change in Proportion Calc'!$A$5:$A$311,'Change in Proportion Calc'!L$5:L$311,"n",0,1)</f>
        <v>-1092</v>
      </c>
      <c r="D146" s="234">
        <f>_xlfn.XLOOKUP($A146,'Change in Proportion Calc'!$A$5:$A$311,'Change in Proportion Calc'!M$5:M$311,"n",0,1)</f>
        <v>-1092</v>
      </c>
      <c r="E146" s="234">
        <f>_xlfn.XLOOKUP($A146,'Change in Proportion Calc'!$A$5:$A$311,'Change in Proportion Calc'!N$5:N$311,"n",0,1)</f>
        <v>-1092</v>
      </c>
      <c r="F146" s="234">
        <f>_xlfn.XLOOKUP($A146,'Change in Proportion Calc'!$A$5:$A$311,'Change in Proportion Calc'!O$5:O$311,"n",0,1)</f>
        <v>-1092</v>
      </c>
      <c r="G146" s="234">
        <f>_xlfn.XLOOKUP($A146,'Change in Proportion Calc'!$A$5:$A$311,'Change in Proportion Calc'!P$5:P$311,"n",0,1)</f>
        <v>-840</v>
      </c>
      <c r="H146" s="54"/>
      <c r="I146" s="69">
        <v>-7805</v>
      </c>
      <c r="J146" s="69">
        <v>-7805</v>
      </c>
      <c r="K146" s="69">
        <v>-7805</v>
      </c>
      <c r="L146" s="69">
        <v>-7805</v>
      </c>
      <c r="M146" s="69">
        <v>-7256</v>
      </c>
      <c r="N146" s="54"/>
      <c r="O146" s="69">
        <v>-13376</v>
      </c>
      <c r="P146" s="69">
        <v>-13376</v>
      </c>
      <c r="Q146" s="69">
        <v>-13376</v>
      </c>
      <c r="R146" s="69">
        <v>-11635</v>
      </c>
      <c r="S146" s="69"/>
      <c r="T146" s="69">
        <v>14352</v>
      </c>
      <c r="U146" s="69">
        <v>14352</v>
      </c>
      <c r="V146" s="69">
        <v>12775</v>
      </c>
      <c r="W146" s="54"/>
      <c r="X146" s="69">
        <v>648</v>
      </c>
      <c r="Y146" s="69">
        <v>635</v>
      </c>
      <c r="Z146" s="54"/>
      <c r="AA146" s="108">
        <v>-10773</v>
      </c>
      <c r="AB146" s="54"/>
      <c r="AC146" s="108">
        <f>VLOOKUP(A146,'Change in Proportion Calc'!$A$5:$H$311,8,FALSE)+SUMIF($C$5:$AB$5,2026,C146:AB146)</f>
        <v>-18046</v>
      </c>
      <c r="AE146" s="107">
        <f t="shared" si="11"/>
        <v>27762</v>
      </c>
      <c r="AF146" s="107">
        <f t="shared" si="12"/>
        <v>74266</v>
      </c>
      <c r="AH146" s="107"/>
      <c r="AI146" s="108"/>
      <c r="AJ146" s="108"/>
      <c r="AK146" s="213">
        <f t="shared" si="10"/>
        <v>10120</v>
      </c>
      <c r="AL146" s="107">
        <f t="shared" si="9"/>
        <v>-7286</v>
      </c>
      <c r="AM146" s="107">
        <f t="shared" si="9"/>
        <v>-9498</v>
      </c>
      <c r="AN146" s="107">
        <f t="shared" si="9"/>
        <v>-20532</v>
      </c>
      <c r="AO146" s="107">
        <f t="shared" si="9"/>
        <v>-8348</v>
      </c>
      <c r="AP146" s="107">
        <f t="shared" si="9"/>
        <v>-840</v>
      </c>
    </row>
    <row r="147" spans="1:42">
      <c r="A147" s="53">
        <v>23070</v>
      </c>
      <c r="B147" s="54" t="s">
        <v>136</v>
      </c>
      <c r="C147" s="234">
        <f>_xlfn.XLOOKUP($A147,'Change in Proportion Calc'!$A$5:$A$311,'Change in Proportion Calc'!L$5:L$311,"n",0,1)</f>
        <v>14085</v>
      </c>
      <c r="D147" s="234">
        <f>_xlfn.XLOOKUP($A147,'Change in Proportion Calc'!$A$5:$A$311,'Change in Proportion Calc'!M$5:M$311,"n",0,1)</f>
        <v>14085</v>
      </c>
      <c r="E147" s="234">
        <f>_xlfn.XLOOKUP($A147,'Change in Proportion Calc'!$A$5:$A$311,'Change in Proportion Calc'!N$5:N$311,"n",0,1)</f>
        <v>14085</v>
      </c>
      <c r="F147" s="234">
        <f>_xlfn.XLOOKUP($A147,'Change in Proportion Calc'!$A$5:$A$311,'Change in Proportion Calc'!O$5:O$311,"n",0,1)</f>
        <v>14085</v>
      </c>
      <c r="G147" s="234">
        <f>_xlfn.XLOOKUP($A147,'Change in Proportion Calc'!$A$5:$A$311,'Change in Proportion Calc'!P$5:P$311,"n",0,1)</f>
        <v>10848</v>
      </c>
      <c r="H147" s="54"/>
      <c r="I147" s="69">
        <v>-18648</v>
      </c>
      <c r="J147" s="69">
        <v>-18648</v>
      </c>
      <c r="K147" s="69">
        <v>-18648</v>
      </c>
      <c r="L147" s="69">
        <v>-18648</v>
      </c>
      <c r="M147" s="69">
        <v>-17341</v>
      </c>
      <c r="N147" s="54"/>
      <c r="O147" s="69">
        <v>-53060</v>
      </c>
      <c r="P147" s="69">
        <v>-53060</v>
      </c>
      <c r="Q147" s="69">
        <v>-53060</v>
      </c>
      <c r="R147" s="69">
        <v>-46164</v>
      </c>
      <c r="S147" s="69"/>
      <c r="T147" s="69">
        <v>1123</v>
      </c>
      <c r="U147" s="69">
        <v>1123</v>
      </c>
      <c r="V147" s="69">
        <v>999</v>
      </c>
      <c r="W147" s="54"/>
      <c r="X147" s="69">
        <v>-3158</v>
      </c>
      <c r="Y147" s="69">
        <v>-3097</v>
      </c>
      <c r="Z147" s="54"/>
      <c r="AA147" s="108">
        <v>20366</v>
      </c>
      <c r="AB147" s="54"/>
      <c r="AC147" s="108">
        <f>VLOOKUP(A147,'Change in Proportion Calc'!$A$5:$H$311,8,FALSE)+SUMIF($C$5:$AB$5,2026,C147:AB147)</f>
        <v>-39292</v>
      </c>
      <c r="AE147" s="107">
        <f t="shared" si="11"/>
        <v>69310</v>
      </c>
      <c r="AF147" s="107">
        <f t="shared" si="12"/>
        <v>228666</v>
      </c>
      <c r="AH147" s="107"/>
      <c r="AI147" s="108"/>
      <c r="AJ147" s="108"/>
      <c r="AK147" s="213">
        <f t="shared" si="10"/>
        <v>23070</v>
      </c>
      <c r="AL147" s="107">
        <f t="shared" si="9"/>
        <v>-59597</v>
      </c>
      <c r="AM147" s="107">
        <f t="shared" si="9"/>
        <v>-56624</v>
      </c>
      <c r="AN147" s="107">
        <f t="shared" si="9"/>
        <v>-50727</v>
      </c>
      <c r="AO147" s="107">
        <f t="shared" si="9"/>
        <v>-3256</v>
      </c>
      <c r="AP147" s="107">
        <f t="shared" si="9"/>
        <v>10848</v>
      </c>
    </row>
    <row r="148" spans="1:42">
      <c r="A148" s="51">
        <v>3170</v>
      </c>
      <c r="B148" s="55" t="s">
        <v>137</v>
      </c>
      <c r="C148" s="234">
        <f>_xlfn.XLOOKUP($A148,'Change in Proportion Calc'!$A$5:$A$311,'Change in Proportion Calc'!L$5:L$311,"n",0,1)</f>
        <v>22915</v>
      </c>
      <c r="D148" s="234">
        <f>_xlfn.XLOOKUP($A148,'Change in Proportion Calc'!$A$5:$A$311,'Change in Proportion Calc'!M$5:M$311,"n",0,1)</f>
        <v>22915</v>
      </c>
      <c r="E148" s="234">
        <f>_xlfn.XLOOKUP($A148,'Change in Proportion Calc'!$A$5:$A$311,'Change in Proportion Calc'!N$5:N$311,"n",0,1)</f>
        <v>22915</v>
      </c>
      <c r="F148" s="234">
        <f>_xlfn.XLOOKUP($A148,'Change in Proportion Calc'!$A$5:$A$311,'Change in Proportion Calc'!O$5:O$311,"n",0,1)</f>
        <v>22915</v>
      </c>
      <c r="G148" s="234">
        <f>_xlfn.XLOOKUP($A148,'Change in Proportion Calc'!$A$5:$A$311,'Change in Proportion Calc'!P$5:P$311,"n",0,1)</f>
        <v>17642</v>
      </c>
      <c r="H148" s="54"/>
      <c r="I148" s="69">
        <v>468038</v>
      </c>
      <c r="J148" s="69">
        <v>468038</v>
      </c>
      <c r="K148" s="69">
        <v>468038</v>
      </c>
      <c r="L148" s="69">
        <v>468038</v>
      </c>
      <c r="M148" s="69">
        <v>435275</v>
      </c>
      <c r="N148" s="54"/>
      <c r="O148" s="69">
        <v>-41276</v>
      </c>
      <c r="P148" s="69">
        <v>-41276</v>
      </c>
      <c r="Q148" s="69">
        <v>-41276</v>
      </c>
      <c r="R148" s="69">
        <v>-35908</v>
      </c>
      <c r="S148" s="69"/>
      <c r="T148" s="69">
        <v>-197883</v>
      </c>
      <c r="U148" s="69">
        <v>-197883</v>
      </c>
      <c r="V148" s="69">
        <v>-176118</v>
      </c>
      <c r="W148" s="54"/>
      <c r="X148" s="69">
        <v>297717</v>
      </c>
      <c r="Y148" s="69">
        <v>291764</v>
      </c>
      <c r="Z148" s="54"/>
      <c r="AA148" s="108">
        <v>-483957</v>
      </c>
      <c r="AB148" s="54"/>
      <c r="AC148" s="108">
        <f>VLOOKUP(A148,'Change in Proportion Calc'!$A$5:$H$311,8,FALSE)+SUMIF($C$5:$AB$5,2026,C148:AB148)</f>
        <v>65554</v>
      </c>
      <c r="AE148" s="107">
        <f t="shared" si="11"/>
        <v>2240455</v>
      </c>
      <c r="AF148" s="107">
        <f t="shared" si="12"/>
        <v>492461</v>
      </c>
      <c r="AH148" s="107"/>
      <c r="AI148" s="108"/>
      <c r="AJ148" s="108"/>
      <c r="AK148" s="213">
        <f t="shared" si="10"/>
        <v>3170</v>
      </c>
      <c r="AL148" s="107">
        <f t="shared" si="9"/>
        <v>543558</v>
      </c>
      <c r="AM148" s="107">
        <f t="shared" si="9"/>
        <v>273559</v>
      </c>
      <c r="AN148" s="107">
        <f t="shared" si="9"/>
        <v>455045</v>
      </c>
      <c r="AO148" s="107">
        <f t="shared" si="9"/>
        <v>458190</v>
      </c>
      <c r="AP148" s="107">
        <f t="shared" si="9"/>
        <v>17642</v>
      </c>
    </row>
    <row r="149" spans="1:42">
      <c r="A149" s="53">
        <v>32093</v>
      </c>
      <c r="B149" s="54" t="s">
        <v>138</v>
      </c>
      <c r="C149" s="234">
        <f>_xlfn.XLOOKUP($A149,'Change in Proportion Calc'!$A$5:$A$311,'Change in Proportion Calc'!L$5:L$311,"n",0,1)</f>
        <v>-89155</v>
      </c>
      <c r="D149" s="234">
        <f>_xlfn.XLOOKUP($A149,'Change in Proportion Calc'!$A$5:$A$311,'Change in Proportion Calc'!M$5:M$311,"n",0,1)</f>
        <v>-89155</v>
      </c>
      <c r="E149" s="234">
        <f>_xlfn.XLOOKUP($A149,'Change in Proportion Calc'!$A$5:$A$311,'Change in Proportion Calc'!N$5:N$311,"n",0,1)</f>
        <v>-89155</v>
      </c>
      <c r="F149" s="234">
        <f>_xlfn.XLOOKUP($A149,'Change in Proportion Calc'!$A$5:$A$311,'Change in Proportion Calc'!O$5:O$311,"n",0,1)</f>
        <v>-89155</v>
      </c>
      <c r="G149" s="234">
        <f>_xlfn.XLOOKUP($A149,'Change in Proportion Calc'!$A$5:$A$311,'Change in Proportion Calc'!P$5:P$311,"n",0,1)</f>
        <v>-68652</v>
      </c>
      <c r="H149" s="54"/>
      <c r="I149" s="69">
        <v>3897</v>
      </c>
      <c r="J149" s="69">
        <v>3897</v>
      </c>
      <c r="K149" s="69">
        <v>3897</v>
      </c>
      <c r="L149" s="69">
        <v>3897</v>
      </c>
      <c r="M149" s="69">
        <v>3625</v>
      </c>
      <c r="N149" s="54"/>
      <c r="O149" s="69">
        <v>35599</v>
      </c>
      <c r="P149" s="69">
        <v>35599</v>
      </c>
      <c r="Q149" s="69">
        <v>35599</v>
      </c>
      <c r="R149" s="69">
        <v>30969</v>
      </c>
      <c r="S149" s="69"/>
      <c r="T149" s="69">
        <v>-45353</v>
      </c>
      <c r="U149" s="69">
        <v>-45353</v>
      </c>
      <c r="V149" s="69">
        <v>-40362</v>
      </c>
      <c r="W149" s="54"/>
      <c r="X149" s="69">
        <v>93786</v>
      </c>
      <c r="Y149" s="69">
        <v>91909</v>
      </c>
      <c r="Z149" s="54"/>
      <c r="AA149" s="108">
        <v>26256</v>
      </c>
      <c r="AB149" s="54"/>
      <c r="AC149" s="108">
        <f>VLOOKUP(A149,'Change in Proportion Calc'!$A$5:$H$311,8,FALSE)+SUMIF($C$5:$AB$5,2026,C149:AB149)</f>
        <v>25030</v>
      </c>
      <c r="AE149" s="107">
        <f t="shared" si="11"/>
        <v>209392</v>
      </c>
      <c r="AF149" s="107">
        <f t="shared" si="12"/>
        <v>510987</v>
      </c>
      <c r="AH149" s="107"/>
      <c r="AI149" s="108"/>
      <c r="AJ149" s="108"/>
      <c r="AK149" s="213">
        <f t="shared" si="10"/>
        <v>32093</v>
      </c>
      <c r="AL149" s="107">
        <f t="shared" si="9"/>
        <v>-3103</v>
      </c>
      <c r="AM149" s="107">
        <f t="shared" si="9"/>
        <v>-90021</v>
      </c>
      <c r="AN149" s="107">
        <f t="shared" si="9"/>
        <v>-54289</v>
      </c>
      <c r="AO149" s="107">
        <f t="shared" si="9"/>
        <v>-85530</v>
      </c>
      <c r="AP149" s="107">
        <f t="shared" si="9"/>
        <v>-68652</v>
      </c>
    </row>
    <row r="150" spans="1:42">
      <c r="A150" s="51">
        <v>14045</v>
      </c>
      <c r="B150" s="55" t="s">
        <v>139</v>
      </c>
      <c r="C150" s="234">
        <f>_xlfn.XLOOKUP($A150,'Change in Proportion Calc'!$A$5:$A$311,'Change in Proportion Calc'!L$5:L$311,"n",0,1)</f>
        <v>-87646</v>
      </c>
      <c r="D150" s="234">
        <f>_xlfn.XLOOKUP($A150,'Change in Proportion Calc'!$A$5:$A$311,'Change in Proportion Calc'!M$5:M$311,"n",0,1)</f>
        <v>-87646</v>
      </c>
      <c r="E150" s="234">
        <f>_xlfn.XLOOKUP($A150,'Change in Proportion Calc'!$A$5:$A$311,'Change in Proportion Calc'!N$5:N$311,"n",0,1)</f>
        <v>-87646</v>
      </c>
      <c r="F150" s="234">
        <f>_xlfn.XLOOKUP($A150,'Change in Proportion Calc'!$A$5:$A$311,'Change in Proportion Calc'!O$5:O$311,"n",0,1)</f>
        <v>-87646</v>
      </c>
      <c r="G150" s="234">
        <f>_xlfn.XLOOKUP($A150,'Change in Proportion Calc'!$A$5:$A$311,'Change in Proportion Calc'!P$5:P$311,"n",0,1)</f>
        <v>-67489</v>
      </c>
      <c r="H150" s="54"/>
      <c r="I150" s="69">
        <v>-2872</v>
      </c>
      <c r="J150" s="69">
        <v>-2872</v>
      </c>
      <c r="K150" s="69">
        <v>-2872</v>
      </c>
      <c r="L150" s="69">
        <v>-2872</v>
      </c>
      <c r="M150" s="69">
        <v>-2669</v>
      </c>
      <c r="N150" s="54"/>
      <c r="O150" s="69">
        <v>654395</v>
      </c>
      <c r="P150" s="69">
        <v>654395</v>
      </c>
      <c r="Q150" s="69">
        <v>654395</v>
      </c>
      <c r="R150" s="69">
        <v>569326</v>
      </c>
      <c r="S150" s="69"/>
      <c r="T150" s="69">
        <v>-25702</v>
      </c>
      <c r="U150" s="69">
        <v>-25702</v>
      </c>
      <c r="V150" s="69">
        <v>-22875</v>
      </c>
      <c r="W150" s="54"/>
      <c r="X150" s="69">
        <v>10610</v>
      </c>
      <c r="Y150" s="69">
        <v>10396</v>
      </c>
      <c r="Z150" s="54"/>
      <c r="AA150" s="108">
        <v>226033</v>
      </c>
      <c r="AB150" s="54"/>
      <c r="AC150" s="108">
        <f>VLOOKUP(A150,'Change in Proportion Calc'!$A$5:$H$311,8,FALSE)+SUMIF($C$5:$AB$5,2026,C150:AB150)</f>
        <v>774818</v>
      </c>
      <c r="AE150" s="107">
        <f t="shared" si="11"/>
        <v>1888512</v>
      </c>
      <c r="AF150" s="107">
        <f t="shared" si="12"/>
        <v>477935</v>
      </c>
      <c r="AH150" s="107"/>
      <c r="AI150" s="108"/>
      <c r="AJ150" s="108"/>
      <c r="AK150" s="213">
        <f t="shared" si="10"/>
        <v>14045</v>
      </c>
      <c r="AL150" s="107">
        <f t="shared" si="9"/>
        <v>548571</v>
      </c>
      <c r="AM150" s="107">
        <f t="shared" si="9"/>
        <v>541002</v>
      </c>
      <c r="AN150" s="107">
        <f t="shared" si="9"/>
        <v>478808</v>
      </c>
      <c r="AO150" s="107">
        <f t="shared" si="9"/>
        <v>-90315</v>
      </c>
      <c r="AP150" s="107">
        <f t="shared" si="9"/>
        <v>-67489</v>
      </c>
    </row>
    <row r="151" spans="1:42">
      <c r="A151" s="53">
        <v>2322</v>
      </c>
      <c r="B151" s="54" t="s">
        <v>140</v>
      </c>
      <c r="C151" s="234">
        <f>_xlfn.XLOOKUP($A151,'Change in Proportion Calc'!$A$5:$A$311,'Change in Proportion Calc'!L$5:L$311,"n",0,1)</f>
        <v>-6881</v>
      </c>
      <c r="D151" s="234">
        <f>_xlfn.XLOOKUP($A151,'Change in Proportion Calc'!$A$5:$A$311,'Change in Proportion Calc'!M$5:M$311,"n",0,1)</f>
        <v>-6881</v>
      </c>
      <c r="E151" s="234">
        <f>_xlfn.XLOOKUP($A151,'Change in Proportion Calc'!$A$5:$A$311,'Change in Proportion Calc'!N$5:N$311,"n",0,1)</f>
        <v>-6881</v>
      </c>
      <c r="F151" s="234">
        <f>_xlfn.XLOOKUP($A151,'Change in Proportion Calc'!$A$5:$A$311,'Change in Proportion Calc'!O$5:O$311,"n",0,1)</f>
        <v>-6881</v>
      </c>
      <c r="G151" s="234">
        <f>_xlfn.XLOOKUP($A151,'Change in Proportion Calc'!$A$5:$A$311,'Change in Proportion Calc'!P$5:P$311,"n",0,1)</f>
        <v>-5296</v>
      </c>
      <c r="H151" s="54"/>
      <c r="I151" s="69">
        <v>-39695</v>
      </c>
      <c r="J151" s="69">
        <v>-39695</v>
      </c>
      <c r="K151" s="69">
        <v>-39695</v>
      </c>
      <c r="L151" s="69">
        <v>-39695</v>
      </c>
      <c r="M151" s="69">
        <v>-36915</v>
      </c>
      <c r="N151" s="54"/>
      <c r="O151" s="69">
        <v>-971</v>
      </c>
      <c r="P151" s="69">
        <v>-971</v>
      </c>
      <c r="Q151" s="69">
        <v>-971</v>
      </c>
      <c r="R151" s="69">
        <v>-844</v>
      </c>
      <c r="S151" s="69"/>
      <c r="T151" s="69">
        <v>29179</v>
      </c>
      <c r="U151" s="69">
        <v>29179</v>
      </c>
      <c r="V151" s="69">
        <v>25969</v>
      </c>
      <c r="W151" s="54"/>
      <c r="X151" s="69">
        <v>-7046</v>
      </c>
      <c r="Y151" s="69">
        <v>-6906</v>
      </c>
      <c r="Z151" s="54"/>
      <c r="AA151" s="108">
        <v>-29704</v>
      </c>
      <c r="AB151" s="54"/>
      <c r="AC151" s="108">
        <f>VLOOKUP(A151,'Change in Proportion Calc'!$A$5:$H$311,8,FALSE)+SUMIF($C$5:$AB$5,2026,C151:AB151)</f>
        <v>-55118</v>
      </c>
      <c r="AE151" s="107">
        <f t="shared" si="11"/>
        <v>55148</v>
      </c>
      <c r="AF151" s="107">
        <f t="shared" si="12"/>
        <v>198512</v>
      </c>
      <c r="AH151" s="107"/>
      <c r="AI151" s="108"/>
      <c r="AJ151" s="108"/>
      <c r="AK151" s="213">
        <f t="shared" si="10"/>
        <v>2322</v>
      </c>
      <c r="AL151" s="107">
        <f t="shared" si="9"/>
        <v>-25274</v>
      </c>
      <c r="AM151" s="107">
        <f t="shared" si="9"/>
        <v>-21578</v>
      </c>
      <c r="AN151" s="107">
        <f t="shared" si="9"/>
        <v>-47420</v>
      </c>
      <c r="AO151" s="107">
        <f t="shared" si="9"/>
        <v>-43796</v>
      </c>
      <c r="AP151" s="107">
        <f t="shared" si="9"/>
        <v>-5296</v>
      </c>
    </row>
    <row r="152" spans="1:42">
      <c r="A152" s="51">
        <v>3006</v>
      </c>
      <c r="B152" s="55" t="s">
        <v>141</v>
      </c>
      <c r="C152" s="234">
        <f>_xlfn.XLOOKUP($A152,'Change in Proportion Calc'!$A$5:$A$311,'Change in Proportion Calc'!L$5:L$311,"n",0,1)</f>
        <v>33594</v>
      </c>
      <c r="D152" s="234">
        <f>_xlfn.XLOOKUP($A152,'Change in Proportion Calc'!$A$5:$A$311,'Change in Proportion Calc'!M$5:M$311,"n",0,1)</f>
        <v>33594</v>
      </c>
      <c r="E152" s="234">
        <f>_xlfn.XLOOKUP($A152,'Change in Proportion Calc'!$A$5:$A$311,'Change in Proportion Calc'!N$5:N$311,"n",0,1)</f>
        <v>33594</v>
      </c>
      <c r="F152" s="234">
        <f>_xlfn.XLOOKUP($A152,'Change in Proportion Calc'!$A$5:$A$311,'Change in Proportion Calc'!O$5:O$311,"n",0,1)</f>
        <v>33594</v>
      </c>
      <c r="G152" s="234">
        <f>_xlfn.XLOOKUP($A152,'Change in Proportion Calc'!$A$5:$A$311,'Change in Proportion Calc'!P$5:P$311,"n",0,1)</f>
        <v>25870</v>
      </c>
      <c r="H152" s="54"/>
      <c r="I152" s="69">
        <v>-11093</v>
      </c>
      <c r="J152" s="69">
        <v>-11093</v>
      </c>
      <c r="K152" s="69">
        <v>-11093</v>
      </c>
      <c r="L152" s="69">
        <v>-11093</v>
      </c>
      <c r="M152" s="69">
        <v>-10314</v>
      </c>
      <c r="N152" s="54"/>
      <c r="O152" s="69">
        <v>44414</v>
      </c>
      <c r="P152" s="69">
        <v>44414</v>
      </c>
      <c r="Q152" s="69">
        <v>44414</v>
      </c>
      <c r="R152" s="69">
        <v>38638</v>
      </c>
      <c r="S152" s="69"/>
      <c r="T152" s="69">
        <v>-39967</v>
      </c>
      <c r="U152" s="69">
        <v>-39967</v>
      </c>
      <c r="V152" s="69">
        <v>-35573</v>
      </c>
      <c r="W152" s="54"/>
      <c r="X152" s="69">
        <v>83743</v>
      </c>
      <c r="Y152" s="69">
        <v>82069</v>
      </c>
      <c r="Z152" s="54"/>
      <c r="AA152" s="108">
        <v>78935</v>
      </c>
      <c r="AB152" s="54"/>
      <c r="AC152" s="108">
        <f>VLOOKUP(A152,'Change in Proportion Calc'!$A$5:$H$311,8,FALSE)+SUMIF($C$5:$AB$5,2026,C152:AB152)</f>
        <v>189626</v>
      </c>
      <c r="AE152" s="107">
        <f t="shared" si="11"/>
        <v>369781</v>
      </c>
      <c r="AF152" s="107">
        <f t="shared" si="12"/>
        <v>119133</v>
      </c>
      <c r="AH152" s="107"/>
      <c r="AI152" s="108"/>
      <c r="AJ152" s="108"/>
      <c r="AK152" s="213">
        <f t="shared" si="10"/>
        <v>3006</v>
      </c>
      <c r="AL152" s="107">
        <f t="shared" si="9"/>
        <v>109017</v>
      </c>
      <c r="AM152" s="107">
        <f t="shared" si="9"/>
        <v>31342</v>
      </c>
      <c r="AN152" s="107">
        <f t="shared" si="9"/>
        <v>61139</v>
      </c>
      <c r="AO152" s="107">
        <f t="shared" si="9"/>
        <v>23280</v>
      </c>
      <c r="AP152" s="107">
        <f t="shared" si="9"/>
        <v>25870</v>
      </c>
    </row>
    <row r="153" spans="1:42">
      <c r="A153" s="53">
        <v>6019</v>
      </c>
      <c r="B153" s="54" t="s">
        <v>142</v>
      </c>
      <c r="C153" s="234">
        <f>_xlfn.XLOOKUP($A153,'Change in Proportion Calc'!$A$5:$A$311,'Change in Proportion Calc'!L$5:L$311,"n",0,1)</f>
        <v>39715</v>
      </c>
      <c r="D153" s="234">
        <f>_xlfn.XLOOKUP($A153,'Change in Proportion Calc'!$A$5:$A$311,'Change in Proportion Calc'!M$5:M$311,"n",0,1)</f>
        <v>39715</v>
      </c>
      <c r="E153" s="234">
        <f>_xlfn.XLOOKUP($A153,'Change in Proportion Calc'!$A$5:$A$311,'Change in Proportion Calc'!N$5:N$311,"n",0,1)</f>
        <v>39715</v>
      </c>
      <c r="F153" s="234">
        <f>_xlfn.XLOOKUP($A153,'Change in Proportion Calc'!$A$5:$A$311,'Change in Proportion Calc'!O$5:O$311,"n",0,1)</f>
        <v>39715</v>
      </c>
      <c r="G153" s="234">
        <f>_xlfn.XLOOKUP($A153,'Change in Proportion Calc'!$A$5:$A$311,'Change in Proportion Calc'!P$5:P$311,"n",0,1)</f>
        <v>30583</v>
      </c>
      <c r="H153" s="54"/>
      <c r="I153" s="69">
        <v>-76964</v>
      </c>
      <c r="J153" s="69">
        <v>-76964</v>
      </c>
      <c r="K153" s="69">
        <v>-76964</v>
      </c>
      <c r="L153" s="69">
        <v>-76964</v>
      </c>
      <c r="M153" s="69">
        <v>-71574</v>
      </c>
      <c r="N153" s="54"/>
      <c r="O153" s="69">
        <v>357191</v>
      </c>
      <c r="P153" s="69">
        <v>357191</v>
      </c>
      <c r="Q153" s="69">
        <v>357191</v>
      </c>
      <c r="R153" s="69">
        <v>310757</v>
      </c>
      <c r="S153" s="69"/>
      <c r="T153" s="69">
        <v>-192519</v>
      </c>
      <c r="U153" s="69">
        <v>-192519</v>
      </c>
      <c r="V153" s="69">
        <v>-171344</v>
      </c>
      <c r="W153" s="54"/>
      <c r="X153" s="69">
        <v>137439</v>
      </c>
      <c r="Y153" s="69">
        <v>134691</v>
      </c>
      <c r="Z153" s="54"/>
      <c r="AA153" s="108">
        <v>149873</v>
      </c>
      <c r="AB153" s="54"/>
      <c r="AC153" s="108">
        <f>VLOOKUP(A153,'Change in Proportion Calc'!$A$5:$H$311,8,FALSE)+SUMIF($C$5:$AB$5,2026,C153:AB153)</f>
        <v>414735</v>
      </c>
      <c r="AE153" s="107">
        <f t="shared" si="11"/>
        <v>1349273</v>
      </c>
      <c r="AF153" s="107">
        <f t="shared" si="12"/>
        <v>666329</v>
      </c>
      <c r="AH153" s="107"/>
      <c r="AI153" s="108"/>
      <c r="AJ153" s="108"/>
      <c r="AK153" s="213">
        <f t="shared" si="10"/>
        <v>6019</v>
      </c>
      <c r="AL153" s="107">
        <f t="shared" si="9"/>
        <v>262114</v>
      </c>
      <c r="AM153" s="107">
        <f t="shared" si="9"/>
        <v>148598</v>
      </c>
      <c r="AN153" s="107">
        <f t="shared" si="9"/>
        <v>273508</v>
      </c>
      <c r="AO153" s="107">
        <f t="shared" si="9"/>
        <v>-31859</v>
      </c>
      <c r="AP153" s="107">
        <f t="shared" si="9"/>
        <v>30583</v>
      </c>
    </row>
    <row r="154" spans="1:42">
      <c r="A154" s="51">
        <v>12128</v>
      </c>
      <c r="B154" s="55" t="s">
        <v>143</v>
      </c>
      <c r="C154" s="234">
        <f>_xlfn.XLOOKUP($A154,'Change in Proportion Calc'!$A$5:$A$311,'Change in Proportion Calc'!L$5:L$311,"n",0,1)</f>
        <v>21878</v>
      </c>
      <c r="D154" s="234">
        <f>_xlfn.XLOOKUP($A154,'Change in Proportion Calc'!$A$5:$A$311,'Change in Proportion Calc'!M$5:M$311,"n",0,1)</f>
        <v>21878</v>
      </c>
      <c r="E154" s="234">
        <f>_xlfn.XLOOKUP($A154,'Change in Proportion Calc'!$A$5:$A$311,'Change in Proportion Calc'!N$5:N$311,"n",0,1)</f>
        <v>21878</v>
      </c>
      <c r="F154" s="234">
        <f>_xlfn.XLOOKUP($A154,'Change in Proportion Calc'!$A$5:$A$311,'Change in Proportion Calc'!O$5:O$311,"n",0,1)</f>
        <v>21878</v>
      </c>
      <c r="G154" s="234">
        <f>_xlfn.XLOOKUP($A154,'Change in Proportion Calc'!$A$5:$A$311,'Change in Proportion Calc'!P$5:P$311,"n",0,1)</f>
        <v>16846</v>
      </c>
      <c r="H154" s="54"/>
      <c r="I154" s="69">
        <v>-12866</v>
      </c>
      <c r="J154" s="69">
        <v>-12866</v>
      </c>
      <c r="K154" s="69">
        <v>-12866</v>
      </c>
      <c r="L154" s="69">
        <v>-12866</v>
      </c>
      <c r="M154" s="69">
        <v>-11965</v>
      </c>
      <c r="N154" s="54"/>
      <c r="O154" s="69">
        <v>-39413</v>
      </c>
      <c r="P154" s="69">
        <v>-39413</v>
      </c>
      <c r="Q154" s="69">
        <v>-39413</v>
      </c>
      <c r="R154" s="69">
        <v>-34291</v>
      </c>
      <c r="S154" s="69"/>
      <c r="T154" s="69">
        <v>-124015</v>
      </c>
      <c r="U154" s="69">
        <v>-124015</v>
      </c>
      <c r="V154" s="69">
        <v>-110373</v>
      </c>
      <c r="W154" s="54"/>
      <c r="X154" s="69">
        <v>-63496</v>
      </c>
      <c r="Y154" s="69">
        <v>-62224</v>
      </c>
      <c r="Z154" s="54"/>
      <c r="AA154" s="108">
        <v>-97784</v>
      </c>
      <c r="AB154" s="54"/>
      <c r="AC154" s="108">
        <f>VLOOKUP(A154,'Change in Proportion Calc'!$A$5:$H$311,8,FALSE)+SUMIF($C$5:$AB$5,2026,C154:AB154)</f>
        <v>-315696</v>
      </c>
      <c r="AE154" s="107">
        <f t="shared" si="11"/>
        <v>104358</v>
      </c>
      <c r="AF154" s="107">
        <f t="shared" si="12"/>
        <v>460292</v>
      </c>
      <c r="AH154" s="107"/>
      <c r="AI154" s="108"/>
      <c r="AJ154" s="108"/>
      <c r="AK154" s="213">
        <f t="shared" si="10"/>
        <v>12128</v>
      </c>
      <c r="AL154" s="107">
        <f t="shared" si="9"/>
        <v>-216640</v>
      </c>
      <c r="AM154" s="107">
        <f t="shared" si="9"/>
        <v>-140774</v>
      </c>
      <c r="AN154" s="107">
        <f t="shared" si="9"/>
        <v>-25279</v>
      </c>
      <c r="AO154" s="107">
        <f t="shared" si="9"/>
        <v>9913</v>
      </c>
      <c r="AP154" s="107">
        <f t="shared" si="9"/>
        <v>16846</v>
      </c>
    </row>
    <row r="155" spans="1:42">
      <c r="A155" s="53">
        <v>3180</v>
      </c>
      <c r="B155" s="54" t="s">
        <v>144</v>
      </c>
      <c r="C155" s="234">
        <f>_xlfn.XLOOKUP($A155,'Change in Proportion Calc'!$A$5:$A$311,'Change in Proportion Calc'!L$5:L$311,"n",0,1)</f>
        <v>380</v>
      </c>
      <c r="D155" s="234">
        <f>_xlfn.XLOOKUP($A155,'Change in Proportion Calc'!$A$5:$A$311,'Change in Proportion Calc'!M$5:M$311,"n",0,1)</f>
        <v>380</v>
      </c>
      <c r="E155" s="234">
        <f>_xlfn.XLOOKUP($A155,'Change in Proportion Calc'!$A$5:$A$311,'Change in Proportion Calc'!N$5:N$311,"n",0,1)</f>
        <v>380</v>
      </c>
      <c r="F155" s="234">
        <f>_xlfn.XLOOKUP($A155,'Change in Proportion Calc'!$A$5:$A$311,'Change in Proportion Calc'!O$5:O$311,"n",0,1)</f>
        <v>380</v>
      </c>
      <c r="G155" s="234">
        <f>_xlfn.XLOOKUP($A155,'Change in Proportion Calc'!$A$5:$A$311,'Change in Proportion Calc'!P$5:P$311,"n",0,1)</f>
        <v>295</v>
      </c>
      <c r="H155" s="54"/>
      <c r="I155" s="69">
        <v>-40474</v>
      </c>
      <c r="J155" s="69">
        <v>-40474</v>
      </c>
      <c r="K155" s="69">
        <v>-40474</v>
      </c>
      <c r="L155" s="69">
        <v>-40474</v>
      </c>
      <c r="M155" s="69">
        <v>-37641</v>
      </c>
      <c r="N155" s="54"/>
      <c r="O155" s="69">
        <v>-40101</v>
      </c>
      <c r="P155" s="69">
        <v>-40101</v>
      </c>
      <c r="Q155" s="69">
        <v>-40101</v>
      </c>
      <c r="R155" s="69">
        <v>-34886</v>
      </c>
      <c r="S155" s="69"/>
      <c r="T155" s="69">
        <v>55859</v>
      </c>
      <c r="U155" s="69">
        <v>55859</v>
      </c>
      <c r="V155" s="69">
        <v>49716</v>
      </c>
      <c r="W155" s="54"/>
      <c r="X155" s="69">
        <v>-51995</v>
      </c>
      <c r="Y155" s="69">
        <v>-50956</v>
      </c>
      <c r="Z155" s="54"/>
      <c r="AA155" s="108">
        <v>-18936</v>
      </c>
      <c r="AB155" s="54"/>
      <c r="AC155" s="108">
        <f>VLOOKUP(A155,'Change in Proportion Calc'!$A$5:$H$311,8,FALSE)+SUMIF($C$5:$AB$5,2026,C155:AB155)</f>
        <v>-95267</v>
      </c>
      <c r="AE155" s="107">
        <f t="shared" si="11"/>
        <v>107390</v>
      </c>
      <c r="AF155" s="107">
        <f t="shared" si="12"/>
        <v>325107</v>
      </c>
      <c r="AH155" s="107"/>
      <c r="AI155" s="108"/>
      <c r="AJ155" s="108"/>
      <c r="AK155" s="213">
        <f t="shared" si="10"/>
        <v>3180</v>
      </c>
      <c r="AL155" s="107">
        <f t="shared" ref="AL155:AP186" si="13">+SUMIF($C$5:$AB$5,AL$5,$C155:$AB155)</f>
        <v>-75292</v>
      </c>
      <c r="AM155" s="107">
        <f t="shared" si="13"/>
        <v>-30479</v>
      </c>
      <c r="AN155" s="107">
        <f t="shared" si="13"/>
        <v>-74980</v>
      </c>
      <c r="AO155" s="107">
        <f t="shared" si="13"/>
        <v>-37261</v>
      </c>
      <c r="AP155" s="107">
        <f t="shared" si="13"/>
        <v>295</v>
      </c>
    </row>
    <row r="156" spans="1:42">
      <c r="A156" s="51">
        <v>25075</v>
      </c>
      <c r="B156" s="55" t="s">
        <v>145</v>
      </c>
      <c r="C156" s="234">
        <f>_xlfn.XLOOKUP($A156,'Change in Proportion Calc'!$A$5:$A$311,'Change in Proportion Calc'!L$5:L$311,"n",0,1)</f>
        <v>-44746</v>
      </c>
      <c r="D156" s="234">
        <f>_xlfn.XLOOKUP($A156,'Change in Proportion Calc'!$A$5:$A$311,'Change in Proportion Calc'!M$5:M$311,"n",0,1)</f>
        <v>-44746</v>
      </c>
      <c r="E156" s="234">
        <f>_xlfn.XLOOKUP($A156,'Change in Proportion Calc'!$A$5:$A$311,'Change in Proportion Calc'!N$5:N$311,"n",0,1)</f>
        <v>-44746</v>
      </c>
      <c r="F156" s="234">
        <f>_xlfn.XLOOKUP($A156,'Change in Proportion Calc'!$A$5:$A$311,'Change in Proportion Calc'!O$5:O$311,"n",0,1)</f>
        <v>-44746</v>
      </c>
      <c r="G156" s="234">
        <f>_xlfn.XLOOKUP($A156,'Change in Proportion Calc'!$A$5:$A$311,'Change in Proportion Calc'!P$5:P$311,"n",0,1)</f>
        <v>-34456</v>
      </c>
      <c r="H156" s="54"/>
      <c r="I156" s="69">
        <v>1191</v>
      </c>
      <c r="J156" s="69">
        <v>1191</v>
      </c>
      <c r="K156" s="69">
        <v>1191</v>
      </c>
      <c r="L156" s="69">
        <v>1191</v>
      </c>
      <c r="M156" s="69">
        <v>1108</v>
      </c>
      <c r="N156" s="54"/>
      <c r="O156" s="69">
        <v>-32702</v>
      </c>
      <c r="P156" s="69">
        <v>-32702</v>
      </c>
      <c r="Q156" s="69">
        <v>-32702</v>
      </c>
      <c r="R156" s="69">
        <v>-28453</v>
      </c>
      <c r="S156" s="69"/>
      <c r="T156" s="69">
        <v>55924</v>
      </c>
      <c r="U156" s="69">
        <v>55924</v>
      </c>
      <c r="V156" s="69">
        <v>49774</v>
      </c>
      <c r="W156" s="54"/>
      <c r="X156" s="69">
        <v>25026</v>
      </c>
      <c r="Y156" s="69">
        <v>24524</v>
      </c>
      <c r="Z156" s="54"/>
      <c r="AA156" s="108">
        <v>-22302</v>
      </c>
      <c r="AB156" s="54"/>
      <c r="AC156" s="108">
        <f>VLOOKUP(A156,'Change in Proportion Calc'!$A$5:$H$311,8,FALSE)+SUMIF($C$5:$AB$5,2026,C156:AB156)</f>
        <v>-17609</v>
      </c>
      <c r="AE156" s="107">
        <f t="shared" si="11"/>
        <v>134903</v>
      </c>
      <c r="AF156" s="107">
        <f t="shared" si="12"/>
        <v>307297</v>
      </c>
      <c r="AH156" s="107"/>
      <c r="AI156" s="108"/>
      <c r="AJ156" s="108"/>
      <c r="AK156" s="213">
        <f t="shared" si="10"/>
        <v>25075</v>
      </c>
      <c r="AL156" s="107">
        <f t="shared" si="13"/>
        <v>4191</v>
      </c>
      <c r="AM156" s="107">
        <f t="shared" si="13"/>
        <v>-26483</v>
      </c>
      <c r="AN156" s="107">
        <f t="shared" si="13"/>
        <v>-72008</v>
      </c>
      <c r="AO156" s="107">
        <f t="shared" si="13"/>
        <v>-43638</v>
      </c>
      <c r="AP156" s="107">
        <f t="shared" si="13"/>
        <v>-34456</v>
      </c>
    </row>
    <row r="157" spans="1:42">
      <c r="A157" s="53">
        <v>9028</v>
      </c>
      <c r="B157" s="54" t="s">
        <v>146</v>
      </c>
      <c r="C157" s="234">
        <f>_xlfn.XLOOKUP($A157,'Change in Proportion Calc'!$A$5:$A$311,'Change in Proportion Calc'!L$5:L$311,"n",0,1)</f>
        <v>4803</v>
      </c>
      <c r="D157" s="234">
        <f>_xlfn.XLOOKUP($A157,'Change in Proportion Calc'!$A$5:$A$311,'Change in Proportion Calc'!M$5:M$311,"n",0,1)</f>
        <v>4803</v>
      </c>
      <c r="E157" s="234">
        <f>_xlfn.XLOOKUP($A157,'Change in Proportion Calc'!$A$5:$A$311,'Change in Proportion Calc'!N$5:N$311,"n",0,1)</f>
        <v>4803</v>
      </c>
      <c r="F157" s="234">
        <f>_xlfn.XLOOKUP($A157,'Change in Proportion Calc'!$A$5:$A$311,'Change in Proportion Calc'!O$5:O$311,"n",0,1)</f>
        <v>4803</v>
      </c>
      <c r="G157" s="234">
        <f>_xlfn.XLOOKUP($A157,'Change in Proportion Calc'!$A$5:$A$311,'Change in Proportion Calc'!P$5:P$311,"n",0,1)</f>
        <v>3697</v>
      </c>
      <c r="H157" s="54"/>
      <c r="I157" s="69">
        <v>-13305</v>
      </c>
      <c r="J157" s="69">
        <v>-13305</v>
      </c>
      <c r="K157" s="69">
        <v>-13305</v>
      </c>
      <c r="L157" s="69">
        <v>-13305</v>
      </c>
      <c r="M157" s="69">
        <v>-12373</v>
      </c>
      <c r="N157" s="54"/>
      <c r="O157" s="69">
        <v>2381</v>
      </c>
      <c r="P157" s="69">
        <v>2381</v>
      </c>
      <c r="Q157" s="69">
        <v>2381</v>
      </c>
      <c r="R157" s="69">
        <v>2072</v>
      </c>
      <c r="S157" s="69"/>
      <c r="T157" s="69">
        <v>-8348</v>
      </c>
      <c r="U157" s="69">
        <v>-8348</v>
      </c>
      <c r="V157" s="69">
        <v>-7428</v>
      </c>
      <c r="W157" s="54"/>
      <c r="X157" s="69">
        <v>-13525</v>
      </c>
      <c r="Y157" s="69">
        <v>-13256</v>
      </c>
      <c r="Z157" s="54"/>
      <c r="AA157" s="108">
        <v>3704</v>
      </c>
      <c r="AB157" s="54"/>
      <c r="AC157" s="108">
        <f>VLOOKUP(A157,'Change in Proportion Calc'!$A$5:$H$311,8,FALSE)+SUMIF($C$5:$AB$5,2026,C157:AB157)</f>
        <v>-24290</v>
      </c>
      <c r="AE157" s="107">
        <f t="shared" si="11"/>
        <v>29743</v>
      </c>
      <c r="AF157" s="107">
        <f t="shared" si="12"/>
        <v>81320</v>
      </c>
      <c r="AH157" s="107"/>
      <c r="AI157" s="108"/>
      <c r="AJ157" s="108"/>
      <c r="AK157" s="213">
        <f t="shared" si="10"/>
        <v>9028</v>
      </c>
      <c r="AL157" s="107">
        <f t="shared" si="13"/>
        <v>-27725</v>
      </c>
      <c r="AM157" s="107">
        <f t="shared" si="13"/>
        <v>-13549</v>
      </c>
      <c r="AN157" s="107">
        <f t="shared" si="13"/>
        <v>-6430</v>
      </c>
      <c r="AO157" s="107">
        <f t="shared" si="13"/>
        <v>-7570</v>
      </c>
      <c r="AP157" s="107">
        <f t="shared" si="13"/>
        <v>3697</v>
      </c>
    </row>
    <row r="158" spans="1:42">
      <c r="A158" s="51">
        <v>17424</v>
      </c>
      <c r="B158" s="55" t="s">
        <v>147</v>
      </c>
      <c r="C158" s="234">
        <f>_xlfn.XLOOKUP($A158,'Change in Proportion Calc'!$A$5:$A$311,'Change in Proportion Calc'!L$5:L$311,"n",0,1)</f>
        <v>-1734</v>
      </c>
      <c r="D158" s="234">
        <f>_xlfn.XLOOKUP($A158,'Change in Proportion Calc'!$A$5:$A$311,'Change in Proportion Calc'!M$5:M$311,"n",0,1)</f>
        <v>-1734</v>
      </c>
      <c r="E158" s="234">
        <f>_xlfn.XLOOKUP($A158,'Change in Proportion Calc'!$A$5:$A$311,'Change in Proportion Calc'!N$5:N$311,"n",0,1)</f>
        <v>-1734</v>
      </c>
      <c r="F158" s="234">
        <f>_xlfn.XLOOKUP($A158,'Change in Proportion Calc'!$A$5:$A$311,'Change in Proportion Calc'!O$5:O$311,"n",0,1)</f>
        <v>-1734</v>
      </c>
      <c r="G158" s="234">
        <f>_xlfn.XLOOKUP($A158,'Change in Proportion Calc'!$A$5:$A$311,'Change in Proportion Calc'!P$5:P$311,"n",0,1)</f>
        <v>-1336</v>
      </c>
      <c r="H158" s="54"/>
      <c r="I158" s="69">
        <v>-7017</v>
      </c>
      <c r="J158" s="69">
        <v>-7017</v>
      </c>
      <c r="K158" s="69">
        <v>-7017</v>
      </c>
      <c r="L158" s="69">
        <v>-7017</v>
      </c>
      <c r="M158" s="69">
        <v>-6527</v>
      </c>
      <c r="N158" s="54"/>
      <c r="O158" s="69">
        <v>31510</v>
      </c>
      <c r="P158" s="69">
        <v>31510</v>
      </c>
      <c r="Q158" s="69">
        <v>31510</v>
      </c>
      <c r="R158" s="69">
        <v>27416</v>
      </c>
      <c r="S158" s="69"/>
      <c r="T158" s="69">
        <v>-5810</v>
      </c>
      <c r="U158" s="69">
        <v>-5810</v>
      </c>
      <c r="V158" s="69">
        <v>-5172</v>
      </c>
      <c r="W158" s="54"/>
      <c r="X158" s="69">
        <v>9233</v>
      </c>
      <c r="Y158" s="69">
        <v>9047</v>
      </c>
      <c r="Z158" s="54"/>
      <c r="AA158" s="108">
        <v>33575</v>
      </c>
      <c r="AB158" s="54"/>
      <c r="AC158" s="108">
        <f>VLOOKUP(A158,'Change in Proportion Calc'!$A$5:$H$311,8,FALSE)+SUMIF($C$5:$AB$5,2026,C158:AB158)</f>
        <v>59757</v>
      </c>
      <c r="AE158" s="107">
        <f t="shared" si="11"/>
        <v>99483</v>
      </c>
      <c r="AF158" s="107">
        <f t="shared" si="12"/>
        <v>46832</v>
      </c>
      <c r="AH158" s="107"/>
      <c r="AI158" s="108"/>
      <c r="AJ158" s="108"/>
      <c r="AK158" s="213">
        <f t="shared" si="10"/>
        <v>17424</v>
      </c>
      <c r="AL158" s="107">
        <f t="shared" si="13"/>
        <v>25996</v>
      </c>
      <c r="AM158" s="107">
        <f t="shared" si="13"/>
        <v>17587</v>
      </c>
      <c r="AN158" s="107">
        <f t="shared" si="13"/>
        <v>18665</v>
      </c>
      <c r="AO158" s="107">
        <f t="shared" si="13"/>
        <v>-8261</v>
      </c>
      <c r="AP158" s="107">
        <f t="shared" si="13"/>
        <v>-1336</v>
      </c>
    </row>
    <row r="159" spans="1:42">
      <c r="A159" s="88">
        <v>3200</v>
      </c>
      <c r="B159" s="89" t="s">
        <v>148</v>
      </c>
      <c r="C159" s="234">
        <f>_xlfn.XLOOKUP($A159,'Change in Proportion Calc'!$A$5:$A$311,'Change in Proportion Calc'!L$5:L$311,"n",0,1)</f>
        <v>47433</v>
      </c>
      <c r="D159" s="234">
        <f>_xlfn.XLOOKUP($A159,'Change in Proportion Calc'!$A$5:$A$311,'Change in Proportion Calc'!M$5:M$311,"n",0,1)</f>
        <v>47433</v>
      </c>
      <c r="E159" s="234">
        <f>_xlfn.XLOOKUP($A159,'Change in Proportion Calc'!$A$5:$A$311,'Change in Proportion Calc'!N$5:N$311,"n",0,1)</f>
        <v>47433</v>
      </c>
      <c r="F159" s="234">
        <f>_xlfn.XLOOKUP($A159,'Change in Proportion Calc'!$A$5:$A$311,'Change in Proportion Calc'!O$5:O$311,"n",0,1)</f>
        <v>47433</v>
      </c>
      <c r="G159" s="234">
        <f>_xlfn.XLOOKUP($A159,'Change in Proportion Calc'!$A$5:$A$311,'Change in Proportion Calc'!P$5:P$311,"n",0,1)</f>
        <v>36526</v>
      </c>
      <c r="H159" s="54"/>
      <c r="I159" s="69">
        <v>-62253</v>
      </c>
      <c r="J159" s="69">
        <v>-62253</v>
      </c>
      <c r="K159" s="69">
        <v>-62253</v>
      </c>
      <c r="L159" s="69">
        <v>-62253</v>
      </c>
      <c r="M159" s="69">
        <v>-57898</v>
      </c>
      <c r="N159" s="54"/>
      <c r="O159" s="69">
        <v>-90603</v>
      </c>
      <c r="P159" s="69">
        <v>-90603</v>
      </c>
      <c r="Q159" s="69">
        <v>-90603</v>
      </c>
      <c r="R159" s="69">
        <v>-78826</v>
      </c>
      <c r="S159" s="69"/>
      <c r="T159" s="69">
        <v>-24235</v>
      </c>
      <c r="U159" s="69">
        <v>-24235</v>
      </c>
      <c r="V159" s="69">
        <v>-21567</v>
      </c>
      <c r="W159" s="54"/>
      <c r="X159" s="69">
        <v>-16036</v>
      </c>
      <c r="Y159" s="69">
        <v>-15715</v>
      </c>
      <c r="Z159" s="54"/>
      <c r="AA159" s="108">
        <v>-134641</v>
      </c>
      <c r="AB159" s="54"/>
      <c r="AC159" s="108">
        <f>VLOOKUP(A159,'Change in Proportion Calc'!$A$5:$H$311,8,FALSE)+SUMIF($C$5:$AB$5,2026,C159:AB159)</f>
        <v>-280335</v>
      </c>
      <c r="AE159" s="107">
        <f t="shared" si="11"/>
        <v>226258</v>
      </c>
      <c r="AF159" s="107">
        <f t="shared" si="12"/>
        <v>566206</v>
      </c>
      <c r="AH159" s="107"/>
      <c r="AI159" s="108"/>
      <c r="AJ159" s="108"/>
      <c r="AK159" s="213">
        <f t="shared" si="10"/>
        <v>3200</v>
      </c>
      <c r="AL159" s="107">
        <f t="shared" si="13"/>
        <v>-145373</v>
      </c>
      <c r="AM159" s="107">
        <f t="shared" si="13"/>
        <v>-126990</v>
      </c>
      <c r="AN159" s="107">
        <f t="shared" si="13"/>
        <v>-93646</v>
      </c>
      <c r="AO159" s="107">
        <f t="shared" si="13"/>
        <v>-10465</v>
      </c>
      <c r="AP159" s="107">
        <f t="shared" si="13"/>
        <v>36526</v>
      </c>
    </row>
    <row r="160" spans="1:42">
      <c r="A160" s="51">
        <v>2365</v>
      </c>
      <c r="B160" s="55" t="s">
        <v>149</v>
      </c>
      <c r="C160" s="234">
        <f>_xlfn.XLOOKUP($A160,'Change in Proportion Calc'!$A$5:$A$311,'Change in Proportion Calc'!L$5:L$311,"n",0,1)</f>
        <v>-15112</v>
      </c>
      <c r="D160" s="234">
        <f>_xlfn.XLOOKUP($A160,'Change in Proportion Calc'!$A$5:$A$311,'Change in Proportion Calc'!M$5:M$311,"n",0,1)</f>
        <v>-15112</v>
      </c>
      <c r="E160" s="234">
        <f>_xlfn.XLOOKUP($A160,'Change in Proportion Calc'!$A$5:$A$311,'Change in Proportion Calc'!N$5:N$311,"n",0,1)</f>
        <v>-15112</v>
      </c>
      <c r="F160" s="234">
        <f>_xlfn.XLOOKUP($A160,'Change in Proportion Calc'!$A$5:$A$311,'Change in Proportion Calc'!O$5:O$311,"n",0,1)</f>
        <v>-15112</v>
      </c>
      <c r="G160" s="234">
        <f>_xlfn.XLOOKUP($A160,'Change in Proportion Calc'!$A$5:$A$311,'Change in Proportion Calc'!P$5:P$311,"n",0,1)</f>
        <v>-11639</v>
      </c>
      <c r="H160" s="54"/>
      <c r="I160" s="69">
        <v>-8232</v>
      </c>
      <c r="J160" s="69">
        <v>-8232</v>
      </c>
      <c r="K160" s="69">
        <v>-8232</v>
      </c>
      <c r="L160" s="69">
        <v>-8232</v>
      </c>
      <c r="M160" s="69">
        <v>-7658</v>
      </c>
      <c r="N160" s="54"/>
      <c r="O160" s="69">
        <v>-40871</v>
      </c>
      <c r="P160" s="69">
        <v>-40871</v>
      </c>
      <c r="Q160" s="69">
        <v>-40871</v>
      </c>
      <c r="R160" s="69">
        <v>-35560</v>
      </c>
      <c r="S160" s="69"/>
      <c r="T160" s="69">
        <v>-30846</v>
      </c>
      <c r="U160" s="69">
        <v>-30846</v>
      </c>
      <c r="V160" s="69">
        <v>-27455</v>
      </c>
      <c r="W160" s="54"/>
      <c r="X160" s="69">
        <v>-24945</v>
      </c>
      <c r="Y160" s="69">
        <v>-24445</v>
      </c>
      <c r="Z160" s="54"/>
      <c r="AA160" s="108">
        <v>-13042</v>
      </c>
      <c r="AB160" s="54"/>
      <c r="AC160" s="108">
        <f>VLOOKUP(A160,'Change in Proportion Calc'!$A$5:$H$311,8,FALSE)+SUMIF($C$5:$AB$5,2026,C160:AB160)</f>
        <v>-133048</v>
      </c>
      <c r="AE160" s="107">
        <f t="shared" si="11"/>
        <v>0</v>
      </c>
      <c r="AF160" s="107">
        <f t="shared" si="12"/>
        <v>304489</v>
      </c>
      <c r="AH160" s="107"/>
      <c r="AI160" s="108"/>
      <c r="AJ160" s="108"/>
      <c r="AK160" s="213">
        <f t="shared" si="10"/>
        <v>2365</v>
      </c>
      <c r="AL160" s="107">
        <f t="shared" si="13"/>
        <v>-119506</v>
      </c>
      <c r="AM160" s="107">
        <f t="shared" si="13"/>
        <v>-91670</v>
      </c>
      <c r="AN160" s="107">
        <f t="shared" si="13"/>
        <v>-58904</v>
      </c>
      <c r="AO160" s="107">
        <f t="shared" si="13"/>
        <v>-22770</v>
      </c>
      <c r="AP160" s="107">
        <f t="shared" si="13"/>
        <v>-11639</v>
      </c>
    </row>
    <row r="161" spans="1:42">
      <c r="A161" s="53">
        <v>5014</v>
      </c>
      <c r="B161" s="54" t="s">
        <v>150</v>
      </c>
      <c r="C161" s="234">
        <f>_xlfn.XLOOKUP($A161,'Change in Proportion Calc'!$A$5:$A$311,'Change in Proportion Calc'!L$5:L$311,"n",0,1)</f>
        <v>1872</v>
      </c>
      <c r="D161" s="234">
        <f>_xlfn.XLOOKUP($A161,'Change in Proportion Calc'!$A$5:$A$311,'Change in Proportion Calc'!M$5:M$311,"n",0,1)</f>
        <v>1872</v>
      </c>
      <c r="E161" s="234">
        <f>_xlfn.XLOOKUP($A161,'Change in Proportion Calc'!$A$5:$A$311,'Change in Proportion Calc'!N$5:N$311,"n",0,1)</f>
        <v>1872</v>
      </c>
      <c r="F161" s="234">
        <f>_xlfn.XLOOKUP($A161,'Change in Proportion Calc'!$A$5:$A$311,'Change in Proportion Calc'!O$5:O$311,"n",0,1)</f>
        <v>1872</v>
      </c>
      <c r="G161" s="234">
        <f>_xlfn.XLOOKUP($A161,'Change in Proportion Calc'!$A$5:$A$311,'Change in Proportion Calc'!P$5:P$311,"n",0,1)</f>
        <v>1443</v>
      </c>
      <c r="H161" s="54"/>
      <c r="I161" s="69">
        <v>-8493</v>
      </c>
      <c r="J161" s="69">
        <v>-8493</v>
      </c>
      <c r="K161" s="69">
        <v>-8493</v>
      </c>
      <c r="L161" s="69">
        <v>-8493</v>
      </c>
      <c r="M161" s="69">
        <v>-7901</v>
      </c>
      <c r="N161" s="54"/>
      <c r="O161" s="69">
        <v>-4393</v>
      </c>
      <c r="P161" s="69">
        <v>-4393</v>
      </c>
      <c r="Q161" s="69">
        <v>-4393</v>
      </c>
      <c r="R161" s="69">
        <v>-3824</v>
      </c>
      <c r="S161" s="69"/>
      <c r="T161" s="69">
        <v>8900</v>
      </c>
      <c r="U161" s="69">
        <v>8900</v>
      </c>
      <c r="V161" s="69">
        <v>7920</v>
      </c>
      <c r="W161" s="54"/>
      <c r="X161" s="69">
        <v>-6641</v>
      </c>
      <c r="Y161" s="69">
        <v>-6509</v>
      </c>
      <c r="Z161" s="54"/>
      <c r="AA161" s="108">
        <v>7575</v>
      </c>
      <c r="AB161" s="54"/>
      <c r="AC161" s="108">
        <f>VLOOKUP(A161,'Change in Proportion Calc'!$A$5:$H$311,8,FALSE)+SUMIF($C$5:$AB$5,2026,C161:AB161)</f>
        <v>-1180</v>
      </c>
      <c r="AE161" s="107">
        <f t="shared" si="11"/>
        <v>25751</v>
      </c>
      <c r="AF161" s="107">
        <f t="shared" si="12"/>
        <v>52499</v>
      </c>
      <c r="AH161" s="107"/>
      <c r="AI161" s="108"/>
      <c r="AJ161" s="108"/>
      <c r="AK161" s="213">
        <f t="shared" si="10"/>
        <v>5014</v>
      </c>
      <c r="AL161" s="107">
        <f t="shared" si="13"/>
        <v>-8623</v>
      </c>
      <c r="AM161" s="107">
        <f t="shared" si="13"/>
        <v>-3094</v>
      </c>
      <c r="AN161" s="107">
        <f t="shared" si="13"/>
        <v>-10445</v>
      </c>
      <c r="AO161" s="107">
        <f t="shared" si="13"/>
        <v>-6029</v>
      </c>
      <c r="AP161" s="107">
        <f t="shared" si="13"/>
        <v>1443</v>
      </c>
    </row>
    <row r="162" spans="1:42">
      <c r="A162" s="51">
        <v>17127</v>
      </c>
      <c r="B162" s="55" t="s">
        <v>151</v>
      </c>
      <c r="C162" s="234">
        <f>_xlfn.XLOOKUP($A162,'Change in Proportion Calc'!$A$5:$A$311,'Change in Proportion Calc'!L$5:L$311,"n",0,1)</f>
        <v>-15368</v>
      </c>
      <c r="D162" s="234">
        <f>_xlfn.XLOOKUP($A162,'Change in Proportion Calc'!$A$5:$A$311,'Change in Proportion Calc'!M$5:M$311,"n",0,1)</f>
        <v>-15368</v>
      </c>
      <c r="E162" s="234">
        <f>_xlfn.XLOOKUP($A162,'Change in Proportion Calc'!$A$5:$A$311,'Change in Proportion Calc'!N$5:N$311,"n",0,1)</f>
        <v>-15368</v>
      </c>
      <c r="F162" s="234">
        <f>_xlfn.XLOOKUP($A162,'Change in Proportion Calc'!$A$5:$A$311,'Change in Proportion Calc'!O$5:O$311,"n",0,1)</f>
        <v>-15368</v>
      </c>
      <c r="G162" s="234">
        <f>_xlfn.XLOOKUP($A162,'Change in Proportion Calc'!$A$5:$A$311,'Change in Proportion Calc'!P$5:P$311,"n",0,1)</f>
        <v>-11832</v>
      </c>
      <c r="H162" s="54"/>
      <c r="I162" s="69">
        <v>-12574</v>
      </c>
      <c r="J162" s="69">
        <v>-12574</v>
      </c>
      <c r="K162" s="69">
        <v>-12574</v>
      </c>
      <c r="L162" s="69">
        <v>-12574</v>
      </c>
      <c r="M162" s="69">
        <v>-11692</v>
      </c>
      <c r="N162" s="54"/>
      <c r="O162" s="69">
        <v>20675</v>
      </c>
      <c r="P162" s="69">
        <v>20675</v>
      </c>
      <c r="Q162" s="69">
        <v>20675</v>
      </c>
      <c r="R162" s="69">
        <v>17985</v>
      </c>
      <c r="S162" s="69"/>
      <c r="T162" s="69">
        <v>4514</v>
      </c>
      <c r="U162" s="69">
        <v>4514</v>
      </c>
      <c r="V162" s="69">
        <v>4017</v>
      </c>
      <c r="W162" s="54"/>
      <c r="X162" s="69">
        <v>-35716</v>
      </c>
      <c r="Y162" s="69">
        <v>-35004</v>
      </c>
      <c r="Z162" s="54"/>
      <c r="AA162" s="108">
        <v>111499</v>
      </c>
      <c r="AB162" s="54"/>
      <c r="AC162" s="108">
        <f>VLOOKUP(A162,'Change in Proportion Calc'!$A$5:$H$311,8,FALSE)+SUMIF($C$5:$AB$5,2026,C162:AB162)</f>
        <v>73030</v>
      </c>
      <c r="AE162" s="107">
        <f t="shared" si="11"/>
        <v>67866</v>
      </c>
      <c r="AF162" s="107">
        <f t="shared" si="12"/>
        <v>157722</v>
      </c>
      <c r="AH162" s="107"/>
      <c r="AI162" s="108"/>
      <c r="AJ162" s="108"/>
      <c r="AK162" s="213">
        <f t="shared" si="10"/>
        <v>17127</v>
      </c>
      <c r="AL162" s="107">
        <f t="shared" si="13"/>
        <v>-37757</v>
      </c>
      <c r="AM162" s="107">
        <f t="shared" si="13"/>
        <v>-3250</v>
      </c>
      <c r="AN162" s="107">
        <f t="shared" si="13"/>
        <v>-9957</v>
      </c>
      <c r="AO162" s="107">
        <f t="shared" si="13"/>
        <v>-27060</v>
      </c>
      <c r="AP162" s="107">
        <f t="shared" si="13"/>
        <v>-11832</v>
      </c>
    </row>
    <row r="163" spans="1:42">
      <c r="A163" s="53">
        <v>10141</v>
      </c>
      <c r="B163" s="54" t="s">
        <v>152</v>
      </c>
      <c r="C163" s="234">
        <f>_xlfn.XLOOKUP($A163,'Change in Proportion Calc'!$A$5:$A$311,'Change in Proportion Calc'!L$5:L$311,"n",0,1)</f>
        <v>1598</v>
      </c>
      <c r="D163" s="234">
        <f>_xlfn.XLOOKUP($A163,'Change in Proportion Calc'!$A$5:$A$311,'Change in Proportion Calc'!M$5:M$311,"n",0,1)</f>
        <v>1598</v>
      </c>
      <c r="E163" s="234">
        <f>_xlfn.XLOOKUP($A163,'Change in Proportion Calc'!$A$5:$A$311,'Change in Proportion Calc'!N$5:N$311,"n",0,1)</f>
        <v>1598</v>
      </c>
      <c r="F163" s="234">
        <f>_xlfn.XLOOKUP($A163,'Change in Proportion Calc'!$A$5:$A$311,'Change in Proportion Calc'!O$5:O$311,"n",0,1)</f>
        <v>1598</v>
      </c>
      <c r="G163" s="234">
        <f>_xlfn.XLOOKUP($A163,'Change in Proportion Calc'!$A$5:$A$311,'Change in Proportion Calc'!P$5:P$311,"n",0,1)</f>
        <v>1230</v>
      </c>
      <c r="H163" s="54"/>
      <c r="I163" s="69">
        <v>-223027</v>
      </c>
      <c r="J163" s="69">
        <v>-223027</v>
      </c>
      <c r="K163" s="69">
        <v>-223027</v>
      </c>
      <c r="L163" s="69">
        <v>-223027</v>
      </c>
      <c r="M163" s="69">
        <v>-207415</v>
      </c>
      <c r="N163" s="54"/>
      <c r="O163" s="69">
        <v>117341</v>
      </c>
      <c r="P163" s="69">
        <v>117341</v>
      </c>
      <c r="Q163" s="69">
        <v>117341</v>
      </c>
      <c r="R163" s="69">
        <v>102088</v>
      </c>
      <c r="S163" s="69"/>
      <c r="T163" s="69">
        <v>125538</v>
      </c>
      <c r="U163" s="69">
        <v>125538</v>
      </c>
      <c r="V163" s="69">
        <v>111729</v>
      </c>
      <c r="W163" s="54"/>
      <c r="X163" s="69">
        <v>-26807</v>
      </c>
      <c r="Y163" s="69">
        <v>-26273</v>
      </c>
      <c r="Z163" s="54"/>
      <c r="AA163" s="108">
        <v>-54025</v>
      </c>
      <c r="AB163" s="54"/>
      <c r="AC163" s="108">
        <f>VLOOKUP(A163,'Change in Proportion Calc'!$A$5:$H$311,8,FALSE)+SUMIF($C$5:$AB$5,2026,C163:AB163)</f>
        <v>-59382</v>
      </c>
      <c r="AE163" s="107">
        <f t="shared" si="11"/>
        <v>581659</v>
      </c>
      <c r="AF163" s="107">
        <f t="shared" si="12"/>
        <v>902769</v>
      </c>
      <c r="AH163" s="107"/>
      <c r="AI163" s="108"/>
      <c r="AJ163" s="108"/>
      <c r="AK163" s="213">
        <f t="shared" si="10"/>
        <v>10141</v>
      </c>
      <c r="AL163" s="107">
        <f t="shared" si="13"/>
        <v>-4823</v>
      </c>
      <c r="AM163" s="107">
        <f t="shared" si="13"/>
        <v>7641</v>
      </c>
      <c r="AN163" s="107">
        <f t="shared" si="13"/>
        <v>-119341</v>
      </c>
      <c r="AO163" s="107">
        <f t="shared" si="13"/>
        <v>-205817</v>
      </c>
      <c r="AP163" s="107">
        <f t="shared" si="13"/>
        <v>1230</v>
      </c>
    </row>
    <row r="164" spans="1:42">
      <c r="A164" s="51">
        <v>4570</v>
      </c>
      <c r="B164" s="55" t="s">
        <v>395</v>
      </c>
      <c r="C164" s="234">
        <f>_xlfn.XLOOKUP($A164,'Change in Proportion Calc'!$A$5:$A$311,'Change in Proportion Calc'!L$5:L$311,"n",0,1)</f>
        <v>9595</v>
      </c>
      <c r="D164" s="234">
        <f>_xlfn.XLOOKUP($A164,'Change in Proportion Calc'!$A$5:$A$311,'Change in Proportion Calc'!M$5:M$311,"n",0,1)</f>
        <v>9595</v>
      </c>
      <c r="E164" s="234">
        <f>_xlfn.XLOOKUP($A164,'Change in Proportion Calc'!$A$5:$A$311,'Change in Proportion Calc'!N$5:N$311,"n",0,1)</f>
        <v>9595</v>
      </c>
      <c r="F164" s="234">
        <f>_xlfn.XLOOKUP($A164,'Change in Proportion Calc'!$A$5:$A$311,'Change in Proportion Calc'!O$5:O$311,"n",0,1)</f>
        <v>9595</v>
      </c>
      <c r="G164" s="234">
        <f>_xlfn.XLOOKUP($A164,'Change in Proportion Calc'!$A$5:$A$311,'Change in Proportion Calc'!P$5:P$311,"n",0,1)</f>
        <v>7388</v>
      </c>
      <c r="H164" s="54"/>
      <c r="I164" s="69">
        <v>26966</v>
      </c>
      <c r="J164" s="69">
        <v>26966</v>
      </c>
      <c r="K164" s="69">
        <v>26966</v>
      </c>
      <c r="L164" s="69">
        <v>26966</v>
      </c>
      <c r="M164" s="69">
        <v>25076</v>
      </c>
      <c r="N164" s="54"/>
      <c r="O164" s="69">
        <v>-47665</v>
      </c>
      <c r="P164" s="69">
        <v>-47665</v>
      </c>
      <c r="Q164" s="69">
        <v>-47665</v>
      </c>
      <c r="R164" s="69">
        <v>-41467</v>
      </c>
      <c r="S164" s="69"/>
      <c r="T164" s="69">
        <v>53888</v>
      </c>
      <c r="U164" s="69">
        <v>53888</v>
      </c>
      <c r="V164" s="69">
        <v>47958</v>
      </c>
      <c r="W164" s="54"/>
      <c r="X164" s="69">
        <v>57016</v>
      </c>
      <c r="Y164" s="69">
        <v>55878</v>
      </c>
      <c r="Z164" s="54"/>
      <c r="AA164" s="108">
        <v>-49314</v>
      </c>
      <c r="AB164" s="54"/>
      <c r="AC164" s="108">
        <f>VLOOKUP(A164,'Change in Proportion Calc'!$A$5:$H$311,8,FALSE)+SUMIF($C$5:$AB$5,2026,C164:AB164)</f>
        <v>50486</v>
      </c>
      <c r="AE164" s="107">
        <f t="shared" si="11"/>
        <v>309466</v>
      </c>
      <c r="AF164" s="107">
        <f t="shared" si="12"/>
        <v>136797</v>
      </c>
      <c r="AH164" s="107"/>
      <c r="AI164" s="108"/>
      <c r="AJ164" s="108"/>
      <c r="AK164" s="213">
        <f t="shared" si="10"/>
        <v>4570</v>
      </c>
      <c r="AL164" s="107">
        <f t="shared" si="13"/>
        <v>98662</v>
      </c>
      <c r="AM164" s="107">
        <f t="shared" si="13"/>
        <v>36854</v>
      </c>
      <c r="AN164" s="107">
        <f t="shared" si="13"/>
        <v>-4906</v>
      </c>
      <c r="AO164" s="107">
        <f t="shared" si="13"/>
        <v>34671</v>
      </c>
      <c r="AP164" s="107">
        <f t="shared" si="13"/>
        <v>7388</v>
      </c>
    </row>
    <row r="165" spans="1:42">
      <c r="A165" s="53">
        <v>13369</v>
      </c>
      <c r="B165" s="54" t="s">
        <v>153</v>
      </c>
      <c r="C165" s="234">
        <f>_xlfn.XLOOKUP($A165,'Change in Proportion Calc'!$A$5:$A$311,'Change in Proportion Calc'!L$5:L$311,"n",0,1)</f>
        <v>-2659</v>
      </c>
      <c r="D165" s="234">
        <f>_xlfn.XLOOKUP($A165,'Change in Proportion Calc'!$A$5:$A$311,'Change in Proportion Calc'!M$5:M$311,"n",0,1)</f>
        <v>-2659</v>
      </c>
      <c r="E165" s="234">
        <f>_xlfn.XLOOKUP($A165,'Change in Proportion Calc'!$A$5:$A$311,'Change in Proportion Calc'!N$5:N$311,"n",0,1)</f>
        <v>-2659</v>
      </c>
      <c r="F165" s="234">
        <f>_xlfn.XLOOKUP($A165,'Change in Proportion Calc'!$A$5:$A$311,'Change in Proportion Calc'!O$5:O$311,"n",0,1)</f>
        <v>-2659</v>
      </c>
      <c r="G165" s="234">
        <f>_xlfn.XLOOKUP($A165,'Change in Proportion Calc'!$A$5:$A$311,'Change in Proportion Calc'!P$5:P$311,"n",0,1)</f>
        <v>-2050</v>
      </c>
      <c r="H165" s="54"/>
      <c r="I165" s="69">
        <v>-848</v>
      </c>
      <c r="J165" s="69">
        <v>-848</v>
      </c>
      <c r="K165" s="69">
        <v>-848</v>
      </c>
      <c r="L165" s="69">
        <v>-848</v>
      </c>
      <c r="M165" s="69">
        <v>-787</v>
      </c>
      <c r="N165" s="54"/>
      <c r="O165" s="69">
        <v>-552</v>
      </c>
      <c r="P165" s="69">
        <v>-552</v>
      </c>
      <c r="Q165" s="69">
        <v>-552</v>
      </c>
      <c r="R165" s="69">
        <v>-478</v>
      </c>
      <c r="S165" s="69"/>
      <c r="T165" s="69">
        <v>8280</v>
      </c>
      <c r="U165" s="69">
        <v>8280</v>
      </c>
      <c r="V165" s="69">
        <v>7369</v>
      </c>
      <c r="W165" s="54"/>
      <c r="X165" s="69">
        <v>-13930</v>
      </c>
      <c r="Y165" s="69">
        <v>-13653</v>
      </c>
      <c r="Z165" s="54"/>
      <c r="AA165" s="108">
        <v>17335</v>
      </c>
      <c r="AB165" s="54"/>
      <c r="AC165" s="108">
        <f>VLOOKUP(A165,'Change in Proportion Calc'!$A$5:$H$311,8,FALSE)+SUMIF($C$5:$AB$5,2026,C165:AB165)</f>
        <v>7626</v>
      </c>
      <c r="AE165" s="107">
        <f t="shared" si="11"/>
        <v>15649</v>
      </c>
      <c r="AF165" s="107">
        <f t="shared" si="12"/>
        <v>31252</v>
      </c>
      <c r="AH165" s="107"/>
      <c r="AI165" s="108"/>
      <c r="AJ165" s="108"/>
      <c r="AK165" s="213">
        <f t="shared" si="10"/>
        <v>13369</v>
      </c>
      <c r="AL165" s="107">
        <f t="shared" si="13"/>
        <v>-9432</v>
      </c>
      <c r="AM165" s="107">
        <f t="shared" si="13"/>
        <v>3310</v>
      </c>
      <c r="AN165" s="107">
        <f t="shared" si="13"/>
        <v>-3985</v>
      </c>
      <c r="AO165" s="107">
        <f t="shared" si="13"/>
        <v>-3446</v>
      </c>
      <c r="AP165" s="107">
        <f t="shared" si="13"/>
        <v>-2050</v>
      </c>
    </row>
    <row r="166" spans="1:42">
      <c r="A166" s="51">
        <v>2425</v>
      </c>
      <c r="B166" s="55" t="s">
        <v>154</v>
      </c>
      <c r="C166" s="234">
        <f>_xlfn.XLOOKUP($A166,'Change in Proportion Calc'!$A$5:$A$311,'Change in Proportion Calc'!L$5:L$311,"n",0,1)</f>
        <v>-28612</v>
      </c>
      <c r="D166" s="234">
        <f>_xlfn.XLOOKUP($A166,'Change in Proportion Calc'!$A$5:$A$311,'Change in Proportion Calc'!M$5:M$311,"n",0,1)</f>
        <v>-28612</v>
      </c>
      <c r="E166" s="234">
        <f>_xlfn.XLOOKUP($A166,'Change in Proportion Calc'!$A$5:$A$311,'Change in Proportion Calc'!N$5:N$311,"n",0,1)</f>
        <v>-28612</v>
      </c>
      <c r="F166" s="234">
        <f>_xlfn.XLOOKUP($A166,'Change in Proportion Calc'!$A$5:$A$311,'Change in Proportion Calc'!O$5:O$311,"n",0,1)</f>
        <v>-28612</v>
      </c>
      <c r="G166" s="234">
        <f>_xlfn.XLOOKUP($A166,'Change in Proportion Calc'!$A$5:$A$311,'Change in Proportion Calc'!P$5:P$311,"n",0,1)</f>
        <v>-22034</v>
      </c>
      <c r="H166" s="54"/>
      <c r="I166" s="69">
        <v>-284321</v>
      </c>
      <c r="J166" s="69">
        <v>-284321</v>
      </c>
      <c r="K166" s="69">
        <v>-284321</v>
      </c>
      <c r="L166" s="69">
        <v>-284321</v>
      </c>
      <c r="M166" s="69">
        <v>-264418</v>
      </c>
      <c r="N166" s="54"/>
      <c r="O166" s="69">
        <v>339061</v>
      </c>
      <c r="P166" s="69">
        <v>339061</v>
      </c>
      <c r="Q166" s="69">
        <v>339061</v>
      </c>
      <c r="R166" s="69">
        <v>294985</v>
      </c>
      <c r="S166" s="69"/>
      <c r="T166" s="69">
        <v>583247</v>
      </c>
      <c r="U166" s="69">
        <v>583247</v>
      </c>
      <c r="V166" s="69">
        <v>519089</v>
      </c>
      <c r="W166" s="54"/>
      <c r="X166" s="69">
        <v>259895</v>
      </c>
      <c r="Y166" s="69">
        <v>254698</v>
      </c>
      <c r="Z166" s="54"/>
      <c r="AA166" s="108">
        <v>230911</v>
      </c>
      <c r="AB166" s="54"/>
      <c r="AC166" s="108">
        <f>VLOOKUP(A166,'Change in Proportion Calc'!$A$5:$H$311,8,FALSE)+SUMIF($C$5:$AB$5,2026,C166:AB166)</f>
        <v>1100181</v>
      </c>
      <c r="AE166" s="107">
        <f t="shared" si="11"/>
        <v>2330141</v>
      </c>
      <c r="AF166" s="107">
        <f t="shared" si="12"/>
        <v>1253863</v>
      </c>
      <c r="AH166" s="107"/>
      <c r="AI166" s="108"/>
      <c r="AJ166" s="108"/>
      <c r="AK166" s="213">
        <f t="shared" si="10"/>
        <v>2425</v>
      </c>
      <c r="AL166" s="107">
        <f t="shared" si="13"/>
        <v>864073</v>
      </c>
      <c r="AM166" s="107">
        <f t="shared" si="13"/>
        <v>545217</v>
      </c>
      <c r="AN166" s="107">
        <f t="shared" si="13"/>
        <v>-17948</v>
      </c>
      <c r="AO166" s="107">
        <f t="shared" si="13"/>
        <v>-293030</v>
      </c>
      <c r="AP166" s="107">
        <f t="shared" si="13"/>
        <v>-22034</v>
      </c>
    </row>
    <row r="167" spans="1:42">
      <c r="A167" s="53">
        <v>1306</v>
      </c>
      <c r="B167" s="54" t="s">
        <v>155</v>
      </c>
      <c r="C167" s="234">
        <f>_xlfn.XLOOKUP($A167,'Change in Proportion Calc'!$A$5:$A$311,'Change in Proportion Calc'!L$5:L$311,"n",0,1)</f>
        <v>26186</v>
      </c>
      <c r="D167" s="234">
        <f>_xlfn.XLOOKUP($A167,'Change in Proportion Calc'!$A$5:$A$311,'Change in Proportion Calc'!M$5:M$311,"n",0,1)</f>
        <v>26186</v>
      </c>
      <c r="E167" s="234">
        <f>_xlfn.XLOOKUP($A167,'Change in Proportion Calc'!$A$5:$A$311,'Change in Proportion Calc'!N$5:N$311,"n",0,1)</f>
        <v>26186</v>
      </c>
      <c r="F167" s="234">
        <f>_xlfn.XLOOKUP($A167,'Change in Proportion Calc'!$A$5:$A$311,'Change in Proportion Calc'!O$5:O$311,"n",0,1)</f>
        <v>26186</v>
      </c>
      <c r="G167" s="234">
        <f>_xlfn.XLOOKUP($A167,'Change in Proportion Calc'!$A$5:$A$311,'Change in Proportion Calc'!P$5:P$311,"n",0,1)</f>
        <v>20164</v>
      </c>
      <c r="H167" s="54"/>
      <c r="I167" s="69">
        <v>-13318</v>
      </c>
      <c r="J167" s="69">
        <v>-13318</v>
      </c>
      <c r="K167" s="69">
        <v>-13318</v>
      </c>
      <c r="L167" s="69">
        <v>-13318</v>
      </c>
      <c r="M167" s="69">
        <v>-12387</v>
      </c>
      <c r="N167" s="54"/>
      <c r="O167" s="69">
        <v>-41346</v>
      </c>
      <c r="P167" s="69">
        <v>-41346</v>
      </c>
      <c r="Q167" s="69">
        <v>-41346</v>
      </c>
      <c r="R167" s="69">
        <v>-35972</v>
      </c>
      <c r="S167" s="69"/>
      <c r="T167" s="69">
        <v>31858</v>
      </c>
      <c r="U167" s="69">
        <v>31858</v>
      </c>
      <c r="V167" s="69">
        <v>28352</v>
      </c>
      <c r="W167" s="54"/>
      <c r="X167" s="69">
        <v>17251</v>
      </c>
      <c r="Y167" s="69">
        <v>16905</v>
      </c>
      <c r="Z167" s="54"/>
      <c r="AA167" s="108">
        <v>13381</v>
      </c>
      <c r="AB167" s="54"/>
      <c r="AC167" s="108">
        <f>VLOOKUP(A167,'Change in Proportion Calc'!$A$5:$H$311,8,FALSE)+SUMIF($C$5:$AB$5,2026,C167:AB167)</f>
        <v>34012</v>
      </c>
      <c r="AE167" s="107">
        <f t="shared" si="11"/>
        <v>202023</v>
      </c>
      <c r="AF167" s="107">
        <f t="shared" si="12"/>
        <v>171005</v>
      </c>
      <c r="AH167" s="107"/>
      <c r="AI167" s="108"/>
      <c r="AJ167" s="108"/>
      <c r="AK167" s="213">
        <f t="shared" si="10"/>
        <v>1306</v>
      </c>
      <c r="AL167" s="107">
        <f t="shared" si="13"/>
        <v>20285</v>
      </c>
      <c r="AM167" s="107">
        <f t="shared" si="13"/>
        <v>-126</v>
      </c>
      <c r="AN167" s="107">
        <f t="shared" si="13"/>
        <v>-23104</v>
      </c>
      <c r="AO167" s="107">
        <f t="shared" si="13"/>
        <v>13799</v>
      </c>
      <c r="AP167" s="107">
        <f t="shared" si="13"/>
        <v>20164</v>
      </c>
    </row>
    <row r="168" spans="1:42">
      <c r="A168" s="51">
        <v>2351</v>
      </c>
      <c r="B168" s="55" t="s">
        <v>156</v>
      </c>
      <c r="C168" s="234">
        <f>_xlfn.XLOOKUP($A168,'Change in Proportion Calc'!$A$5:$A$311,'Change in Proportion Calc'!L$5:L$311,"n",0,1)</f>
        <v>3407</v>
      </c>
      <c r="D168" s="234">
        <f>_xlfn.XLOOKUP($A168,'Change in Proportion Calc'!$A$5:$A$311,'Change in Proportion Calc'!M$5:M$311,"n",0,1)</f>
        <v>3407</v>
      </c>
      <c r="E168" s="234">
        <f>_xlfn.XLOOKUP($A168,'Change in Proportion Calc'!$A$5:$A$311,'Change in Proportion Calc'!N$5:N$311,"n",0,1)</f>
        <v>3407</v>
      </c>
      <c r="F168" s="234">
        <f>_xlfn.XLOOKUP($A168,'Change in Proportion Calc'!$A$5:$A$311,'Change in Proportion Calc'!O$5:O$311,"n",0,1)</f>
        <v>3407</v>
      </c>
      <c r="G168" s="234">
        <f>_xlfn.XLOOKUP($A168,'Change in Proportion Calc'!$A$5:$A$311,'Change in Proportion Calc'!P$5:P$311,"n",0,1)</f>
        <v>2622</v>
      </c>
      <c r="H168" s="54"/>
      <c r="I168" s="69">
        <v>-9884</v>
      </c>
      <c r="J168" s="69">
        <v>-9884</v>
      </c>
      <c r="K168" s="69">
        <v>-9884</v>
      </c>
      <c r="L168" s="69">
        <v>-9884</v>
      </c>
      <c r="M168" s="69">
        <v>-9190</v>
      </c>
      <c r="N168" s="54"/>
      <c r="O168" s="69">
        <v>41586</v>
      </c>
      <c r="P168" s="69">
        <v>41586</v>
      </c>
      <c r="Q168" s="69">
        <v>41586</v>
      </c>
      <c r="R168" s="69">
        <v>36178</v>
      </c>
      <c r="S168" s="69"/>
      <c r="T168" s="69">
        <v>36309</v>
      </c>
      <c r="U168" s="69">
        <v>36309</v>
      </c>
      <c r="V168" s="69">
        <v>32313</v>
      </c>
      <c r="W168" s="54"/>
      <c r="X168" s="69">
        <v>-5102</v>
      </c>
      <c r="Y168" s="69">
        <v>-5002</v>
      </c>
      <c r="Z168" s="54"/>
      <c r="AA168" s="108">
        <v>23731</v>
      </c>
      <c r="AB168" s="54"/>
      <c r="AC168" s="108">
        <f>VLOOKUP(A168,'Change in Proportion Calc'!$A$5:$H$311,8,FALSE)+SUMIF($C$5:$AB$5,2026,C168:AB168)</f>
        <v>90047</v>
      </c>
      <c r="AE168" s="107">
        <f t="shared" si="11"/>
        <v>204222</v>
      </c>
      <c r="AF168" s="107">
        <f t="shared" si="12"/>
        <v>43844</v>
      </c>
      <c r="AH168" s="107"/>
      <c r="AI168" s="108"/>
      <c r="AJ168" s="108"/>
      <c r="AK168" s="213">
        <f t="shared" si="10"/>
        <v>2351</v>
      </c>
      <c r="AL168" s="107">
        <f t="shared" si="13"/>
        <v>66416</v>
      </c>
      <c r="AM168" s="107">
        <f t="shared" si="13"/>
        <v>67422</v>
      </c>
      <c r="AN168" s="107">
        <f t="shared" si="13"/>
        <v>29701</v>
      </c>
      <c r="AO168" s="107">
        <f t="shared" si="13"/>
        <v>-5783</v>
      </c>
      <c r="AP168" s="107">
        <f t="shared" si="13"/>
        <v>2622</v>
      </c>
    </row>
    <row r="169" spans="1:42">
      <c r="A169" s="53">
        <v>2334</v>
      </c>
      <c r="B169" s="54" t="s">
        <v>157</v>
      </c>
      <c r="C169" s="234">
        <f>_xlfn.XLOOKUP($A169,'Change in Proportion Calc'!$A$5:$A$311,'Change in Proportion Calc'!L$5:L$311,"n",0,1)</f>
        <v>-6500</v>
      </c>
      <c r="D169" s="234">
        <f>_xlfn.XLOOKUP($A169,'Change in Proportion Calc'!$A$5:$A$311,'Change in Proportion Calc'!M$5:M$311,"n",0,1)</f>
        <v>-6500</v>
      </c>
      <c r="E169" s="234">
        <f>_xlfn.XLOOKUP($A169,'Change in Proportion Calc'!$A$5:$A$311,'Change in Proportion Calc'!N$5:N$311,"n",0,1)</f>
        <v>-6500</v>
      </c>
      <c r="F169" s="234">
        <f>_xlfn.XLOOKUP($A169,'Change in Proportion Calc'!$A$5:$A$311,'Change in Proportion Calc'!O$5:O$311,"n",0,1)</f>
        <v>-6500</v>
      </c>
      <c r="G169" s="234">
        <f>_xlfn.XLOOKUP($A169,'Change in Proportion Calc'!$A$5:$A$311,'Change in Proportion Calc'!P$5:P$311,"n",0,1)</f>
        <v>-5006</v>
      </c>
      <c r="H169" s="54"/>
      <c r="I169" s="69">
        <v>-3350</v>
      </c>
      <c r="J169" s="69">
        <v>-3350</v>
      </c>
      <c r="K169" s="69">
        <v>-3350</v>
      </c>
      <c r="L169" s="69">
        <v>-3350</v>
      </c>
      <c r="M169" s="69">
        <v>-3117</v>
      </c>
      <c r="N169" s="54"/>
      <c r="O169" s="69">
        <v>17653</v>
      </c>
      <c r="P169" s="69">
        <v>17653</v>
      </c>
      <c r="Q169" s="69">
        <v>17653</v>
      </c>
      <c r="R169" s="69">
        <v>15356</v>
      </c>
      <c r="S169" s="69"/>
      <c r="T169" s="69">
        <v>27937</v>
      </c>
      <c r="U169" s="69">
        <v>27937</v>
      </c>
      <c r="V169" s="69">
        <v>24866</v>
      </c>
      <c r="W169" s="54"/>
      <c r="X169" s="69">
        <v>-8828</v>
      </c>
      <c r="Y169" s="69">
        <v>-8651</v>
      </c>
      <c r="Z169" s="54"/>
      <c r="AA169" s="108">
        <v>6229</v>
      </c>
      <c r="AB169" s="54"/>
      <c r="AC169" s="108">
        <f>VLOOKUP(A169,'Change in Proportion Calc'!$A$5:$H$311,8,FALSE)+SUMIF($C$5:$AB$5,2026,C169:AB169)</f>
        <v>33141</v>
      </c>
      <c r="AE169" s="107">
        <f t="shared" si="11"/>
        <v>103465</v>
      </c>
      <c r="AF169" s="107">
        <f t="shared" si="12"/>
        <v>52824</v>
      </c>
      <c r="AH169" s="107"/>
      <c r="AI169" s="108"/>
      <c r="AJ169" s="108"/>
      <c r="AK169" s="213">
        <f t="shared" si="10"/>
        <v>2334</v>
      </c>
      <c r="AL169" s="107">
        <f t="shared" si="13"/>
        <v>27089</v>
      </c>
      <c r="AM169" s="107">
        <f t="shared" si="13"/>
        <v>32669</v>
      </c>
      <c r="AN169" s="107">
        <f t="shared" si="13"/>
        <v>5506</v>
      </c>
      <c r="AO169" s="107">
        <f t="shared" si="13"/>
        <v>-9617</v>
      </c>
      <c r="AP169" s="107">
        <f t="shared" si="13"/>
        <v>-5006</v>
      </c>
    </row>
    <row r="170" spans="1:42">
      <c r="A170" s="51">
        <v>30089</v>
      </c>
      <c r="B170" s="55" t="s">
        <v>158</v>
      </c>
      <c r="C170" s="234">
        <f>_xlfn.XLOOKUP($A170,'Change in Proportion Calc'!$A$5:$A$311,'Change in Proportion Calc'!L$5:L$311,"n",0,1)</f>
        <v>-42803</v>
      </c>
      <c r="D170" s="234">
        <f>_xlfn.XLOOKUP($A170,'Change in Proportion Calc'!$A$5:$A$311,'Change in Proportion Calc'!M$5:M$311,"n",0,1)</f>
        <v>-42803</v>
      </c>
      <c r="E170" s="234">
        <f>_xlfn.XLOOKUP($A170,'Change in Proportion Calc'!$A$5:$A$311,'Change in Proportion Calc'!N$5:N$311,"n",0,1)</f>
        <v>-42803</v>
      </c>
      <c r="F170" s="234">
        <f>_xlfn.XLOOKUP($A170,'Change in Proportion Calc'!$A$5:$A$311,'Change in Proportion Calc'!O$5:O$311,"n",0,1)</f>
        <v>-42803</v>
      </c>
      <c r="G170" s="234">
        <f>_xlfn.XLOOKUP($A170,'Change in Proportion Calc'!$A$5:$A$311,'Change in Proportion Calc'!P$5:P$311,"n",0,1)</f>
        <v>-32957</v>
      </c>
      <c r="H170" s="54"/>
      <c r="I170" s="69">
        <v>-63419</v>
      </c>
      <c r="J170" s="69">
        <v>-63419</v>
      </c>
      <c r="K170" s="69">
        <v>-63419</v>
      </c>
      <c r="L170" s="69">
        <v>-63419</v>
      </c>
      <c r="M170" s="69">
        <v>-58982</v>
      </c>
      <c r="N170" s="54"/>
      <c r="O170" s="69">
        <v>33332</v>
      </c>
      <c r="P170" s="69">
        <v>33332</v>
      </c>
      <c r="Q170" s="69">
        <v>33332</v>
      </c>
      <c r="R170" s="69">
        <v>28997</v>
      </c>
      <c r="S170" s="69"/>
      <c r="T170" s="69">
        <v>49319</v>
      </c>
      <c r="U170" s="69">
        <v>49319</v>
      </c>
      <c r="V170" s="69">
        <v>43896</v>
      </c>
      <c r="W170" s="54"/>
      <c r="X170" s="69">
        <v>-17980</v>
      </c>
      <c r="Y170" s="69">
        <v>-17618</v>
      </c>
      <c r="Z170" s="54"/>
      <c r="AA170" s="108">
        <v>-46116</v>
      </c>
      <c r="AB170" s="54"/>
      <c r="AC170" s="108">
        <f>VLOOKUP(A170,'Change in Proportion Calc'!$A$5:$H$311,8,FALSE)+SUMIF($C$5:$AB$5,2026,C170:AB170)</f>
        <v>-87667</v>
      </c>
      <c r="AE170" s="107">
        <f t="shared" si="11"/>
        <v>188876</v>
      </c>
      <c r="AF170" s="107">
        <f t="shared" si="12"/>
        <v>471026</v>
      </c>
      <c r="AH170" s="107"/>
      <c r="AI170" s="108"/>
      <c r="AJ170" s="108"/>
      <c r="AK170" s="213">
        <f t="shared" si="10"/>
        <v>30089</v>
      </c>
      <c r="AL170" s="107">
        <f t="shared" si="13"/>
        <v>-41189</v>
      </c>
      <c r="AM170" s="107">
        <f t="shared" si="13"/>
        <v>-28994</v>
      </c>
      <c r="AN170" s="107">
        <f t="shared" si="13"/>
        <v>-77225</v>
      </c>
      <c r="AO170" s="107">
        <f t="shared" si="13"/>
        <v>-101785</v>
      </c>
      <c r="AP170" s="107">
        <f t="shared" si="13"/>
        <v>-32957</v>
      </c>
    </row>
    <row r="171" spans="1:42">
      <c r="A171" s="53">
        <v>9324</v>
      </c>
      <c r="B171" s="54" t="s">
        <v>159</v>
      </c>
      <c r="C171" s="234">
        <f>_xlfn.XLOOKUP($A171,'Change in Proportion Calc'!$A$5:$A$311,'Change in Proportion Calc'!L$5:L$311,"n",0,1)</f>
        <v>-10318</v>
      </c>
      <c r="D171" s="234">
        <f>_xlfn.XLOOKUP($A171,'Change in Proportion Calc'!$A$5:$A$311,'Change in Proportion Calc'!M$5:M$311,"n",0,1)</f>
        <v>-10318</v>
      </c>
      <c r="E171" s="234">
        <f>_xlfn.XLOOKUP($A171,'Change in Proportion Calc'!$A$5:$A$311,'Change in Proportion Calc'!N$5:N$311,"n",0,1)</f>
        <v>-10318</v>
      </c>
      <c r="F171" s="234">
        <f>_xlfn.XLOOKUP($A171,'Change in Proportion Calc'!$A$5:$A$311,'Change in Proportion Calc'!O$5:O$311,"n",0,1)</f>
        <v>-10318</v>
      </c>
      <c r="G171" s="234">
        <f>_xlfn.XLOOKUP($A171,'Change in Proportion Calc'!$A$5:$A$311,'Change in Proportion Calc'!P$5:P$311,"n",0,1)</f>
        <v>-7943</v>
      </c>
      <c r="H171" s="54"/>
      <c r="I171" s="69">
        <v>-16762</v>
      </c>
      <c r="J171" s="69">
        <v>-16762</v>
      </c>
      <c r="K171" s="69">
        <v>-16762</v>
      </c>
      <c r="L171" s="69">
        <v>-16762</v>
      </c>
      <c r="M171" s="69">
        <v>-15587</v>
      </c>
      <c r="N171" s="54"/>
      <c r="O171" s="69">
        <v>15205</v>
      </c>
      <c r="P171" s="69">
        <v>15205</v>
      </c>
      <c r="Q171" s="69">
        <v>15205</v>
      </c>
      <c r="R171" s="69">
        <v>13227</v>
      </c>
      <c r="S171" s="69"/>
      <c r="T171" s="69">
        <v>-9111</v>
      </c>
      <c r="U171" s="69">
        <v>-9111</v>
      </c>
      <c r="V171" s="69">
        <v>-8108</v>
      </c>
      <c r="W171" s="54"/>
      <c r="X171" s="69">
        <v>3483</v>
      </c>
      <c r="Y171" s="69">
        <v>3411</v>
      </c>
      <c r="Z171" s="54"/>
      <c r="AA171" s="108">
        <v>14727</v>
      </c>
      <c r="AB171" s="54"/>
      <c r="AC171" s="108">
        <f>VLOOKUP(A171,'Change in Proportion Calc'!$A$5:$H$311,8,FALSE)+SUMIF($C$5:$AB$5,2026,C171:AB171)</f>
        <v>-2776</v>
      </c>
      <c r="AE171" s="107">
        <f t="shared" si="11"/>
        <v>47048</v>
      </c>
      <c r="AF171" s="107">
        <f t="shared" si="12"/>
        <v>132307</v>
      </c>
      <c r="AH171" s="107"/>
      <c r="AI171" s="108"/>
      <c r="AJ171" s="108"/>
      <c r="AK171" s="213">
        <f t="shared" si="10"/>
        <v>9324</v>
      </c>
      <c r="AL171" s="107">
        <f t="shared" si="13"/>
        <v>-17575</v>
      </c>
      <c r="AM171" s="107">
        <f t="shared" si="13"/>
        <v>-19983</v>
      </c>
      <c r="AN171" s="107">
        <f t="shared" si="13"/>
        <v>-13853</v>
      </c>
      <c r="AO171" s="107">
        <f t="shared" si="13"/>
        <v>-25905</v>
      </c>
      <c r="AP171" s="107">
        <f t="shared" si="13"/>
        <v>-7943</v>
      </c>
    </row>
    <row r="172" spans="1:42">
      <c r="A172" s="51">
        <v>22066</v>
      </c>
      <c r="B172" s="55" t="s">
        <v>160</v>
      </c>
      <c r="C172" s="234">
        <f>_xlfn.XLOOKUP($A172,'Change in Proportion Calc'!$A$5:$A$311,'Change in Proportion Calc'!L$5:L$311,"n",0,1)</f>
        <v>-33658</v>
      </c>
      <c r="D172" s="234">
        <f>_xlfn.XLOOKUP($A172,'Change in Proportion Calc'!$A$5:$A$311,'Change in Proportion Calc'!M$5:M$311,"n",0,1)</f>
        <v>-33658</v>
      </c>
      <c r="E172" s="234">
        <f>_xlfn.XLOOKUP($A172,'Change in Proportion Calc'!$A$5:$A$311,'Change in Proportion Calc'!N$5:N$311,"n",0,1)</f>
        <v>-33658</v>
      </c>
      <c r="F172" s="234">
        <f>_xlfn.XLOOKUP($A172,'Change in Proportion Calc'!$A$5:$A$311,'Change in Proportion Calc'!O$5:O$311,"n",0,1)</f>
        <v>-33658</v>
      </c>
      <c r="G172" s="234">
        <f>_xlfn.XLOOKUP($A172,'Change in Proportion Calc'!$A$5:$A$311,'Change in Proportion Calc'!P$5:P$311,"n",0,1)</f>
        <v>-25916</v>
      </c>
      <c r="H172" s="54"/>
      <c r="I172" s="69">
        <v>11173</v>
      </c>
      <c r="J172" s="69">
        <v>11173</v>
      </c>
      <c r="K172" s="69">
        <v>11173</v>
      </c>
      <c r="L172" s="69">
        <v>11173</v>
      </c>
      <c r="M172" s="69">
        <v>10389</v>
      </c>
      <c r="N172" s="54"/>
      <c r="O172" s="69">
        <v>240185</v>
      </c>
      <c r="P172" s="69">
        <v>240185</v>
      </c>
      <c r="Q172" s="69">
        <v>240185</v>
      </c>
      <c r="R172" s="69">
        <v>208960</v>
      </c>
      <c r="S172" s="69"/>
      <c r="T172" s="69">
        <v>-41746</v>
      </c>
      <c r="U172" s="69">
        <v>-41746</v>
      </c>
      <c r="V172" s="69">
        <v>-37155</v>
      </c>
      <c r="W172" s="54"/>
      <c r="X172" s="69">
        <v>92490</v>
      </c>
      <c r="Y172" s="69">
        <v>90640</v>
      </c>
      <c r="Z172" s="54"/>
      <c r="AA172" s="108">
        <v>43002</v>
      </c>
      <c r="AB172" s="54"/>
      <c r="AC172" s="108">
        <f>VLOOKUP(A172,'Change in Proportion Calc'!$A$5:$H$311,8,FALSE)+SUMIF($C$5:$AB$5,2026,C172:AB172)</f>
        <v>311446</v>
      </c>
      <c r="AE172" s="107">
        <f t="shared" si="11"/>
        <v>823878</v>
      </c>
      <c r="AF172" s="107">
        <f t="shared" si="12"/>
        <v>239449</v>
      </c>
      <c r="AH172" s="107"/>
      <c r="AI172" s="108"/>
      <c r="AJ172" s="108"/>
      <c r="AK172" s="213">
        <f t="shared" si="10"/>
        <v>22066</v>
      </c>
      <c r="AL172" s="107">
        <f t="shared" si="13"/>
        <v>266594</v>
      </c>
      <c r="AM172" s="107">
        <f t="shared" si="13"/>
        <v>180545</v>
      </c>
      <c r="AN172" s="107">
        <f t="shared" si="13"/>
        <v>186475</v>
      </c>
      <c r="AO172" s="107">
        <f t="shared" si="13"/>
        <v>-23269</v>
      </c>
      <c r="AP172" s="107">
        <f t="shared" si="13"/>
        <v>-25916</v>
      </c>
    </row>
    <row r="173" spans="1:42">
      <c r="A173" s="53">
        <v>16356</v>
      </c>
      <c r="B173" s="54" t="s">
        <v>161</v>
      </c>
      <c r="C173" s="234">
        <f>_xlfn.XLOOKUP($A173,'Change in Proportion Calc'!$A$5:$A$311,'Change in Proportion Calc'!L$5:L$311,"n",0,1)</f>
        <v>5694</v>
      </c>
      <c r="D173" s="234">
        <f>_xlfn.XLOOKUP($A173,'Change in Proportion Calc'!$A$5:$A$311,'Change in Proportion Calc'!M$5:M$311,"n",0,1)</f>
        <v>5694</v>
      </c>
      <c r="E173" s="234">
        <f>_xlfn.XLOOKUP($A173,'Change in Proportion Calc'!$A$5:$A$311,'Change in Proportion Calc'!N$5:N$311,"n",0,1)</f>
        <v>5694</v>
      </c>
      <c r="F173" s="234">
        <f>_xlfn.XLOOKUP($A173,'Change in Proportion Calc'!$A$5:$A$311,'Change in Proportion Calc'!O$5:O$311,"n",0,1)</f>
        <v>5694</v>
      </c>
      <c r="G173" s="234">
        <f>_xlfn.XLOOKUP($A173,'Change in Proportion Calc'!$A$5:$A$311,'Change in Proportion Calc'!P$5:P$311,"n",0,1)</f>
        <v>4382</v>
      </c>
      <c r="H173" s="54"/>
      <c r="I173" s="69">
        <v>2799</v>
      </c>
      <c r="J173" s="69">
        <v>2799</v>
      </c>
      <c r="K173" s="69">
        <v>2799</v>
      </c>
      <c r="L173" s="69">
        <v>2799</v>
      </c>
      <c r="M173" s="69">
        <v>2604</v>
      </c>
      <c r="N173" s="54"/>
      <c r="O173" s="69">
        <v>12646</v>
      </c>
      <c r="P173" s="69">
        <v>12646</v>
      </c>
      <c r="Q173" s="69">
        <v>12646</v>
      </c>
      <c r="R173" s="69">
        <v>11000</v>
      </c>
      <c r="S173" s="69"/>
      <c r="T173" s="69">
        <v>-3748</v>
      </c>
      <c r="U173" s="69">
        <v>-3748</v>
      </c>
      <c r="V173" s="69">
        <v>-3338</v>
      </c>
      <c r="W173" s="54"/>
      <c r="X173" s="69">
        <v>11500</v>
      </c>
      <c r="Y173" s="69">
        <v>11272</v>
      </c>
      <c r="Z173" s="54"/>
      <c r="AA173" s="108">
        <v>6563</v>
      </c>
      <c r="AB173" s="54"/>
      <c r="AC173" s="108">
        <f>VLOOKUP(A173,'Change in Proportion Calc'!$A$5:$H$311,8,FALSE)+SUMIF($C$5:$AB$5,2026,C173:AB173)</f>
        <v>35454</v>
      </c>
      <c r="AE173" s="107">
        <f t="shared" si="11"/>
        <v>85723</v>
      </c>
      <c r="AF173" s="107">
        <f t="shared" si="12"/>
        <v>7086</v>
      </c>
      <c r="AH173" s="107"/>
      <c r="AI173" s="108"/>
      <c r="AJ173" s="108"/>
      <c r="AK173" s="213">
        <f t="shared" si="10"/>
        <v>16356</v>
      </c>
      <c r="AL173" s="107">
        <f t="shared" si="13"/>
        <v>28663</v>
      </c>
      <c r="AM173" s="107">
        <f t="shared" si="13"/>
        <v>17801</v>
      </c>
      <c r="AN173" s="107">
        <f t="shared" si="13"/>
        <v>19493</v>
      </c>
      <c r="AO173" s="107">
        <f t="shared" si="13"/>
        <v>8298</v>
      </c>
      <c r="AP173" s="107">
        <f t="shared" si="13"/>
        <v>4382</v>
      </c>
    </row>
    <row r="174" spans="1:42">
      <c r="A174" s="51">
        <v>31091</v>
      </c>
      <c r="B174" s="55" t="s">
        <v>162</v>
      </c>
      <c r="C174" s="234">
        <f>_xlfn.XLOOKUP($A174,'Change in Proportion Calc'!$A$5:$A$311,'Change in Proportion Calc'!L$5:L$311,"n",0,1)</f>
        <v>499</v>
      </c>
      <c r="D174" s="234">
        <f>_xlfn.XLOOKUP($A174,'Change in Proportion Calc'!$A$5:$A$311,'Change in Proportion Calc'!M$5:M$311,"n",0,1)</f>
        <v>499</v>
      </c>
      <c r="E174" s="234">
        <f>_xlfn.XLOOKUP($A174,'Change in Proportion Calc'!$A$5:$A$311,'Change in Proportion Calc'!N$5:N$311,"n",0,1)</f>
        <v>499</v>
      </c>
      <c r="F174" s="234">
        <f>_xlfn.XLOOKUP($A174,'Change in Proportion Calc'!$A$5:$A$311,'Change in Proportion Calc'!O$5:O$311,"n",0,1)</f>
        <v>499</v>
      </c>
      <c r="G174" s="234">
        <f>_xlfn.XLOOKUP($A174,'Change in Proportion Calc'!$A$5:$A$311,'Change in Proportion Calc'!P$5:P$311,"n",0,1)</f>
        <v>382</v>
      </c>
      <c r="H174" s="54"/>
      <c r="I174" s="69">
        <v>-3377</v>
      </c>
      <c r="J174" s="69">
        <v>-3377</v>
      </c>
      <c r="K174" s="69">
        <v>-3377</v>
      </c>
      <c r="L174" s="69">
        <v>-3377</v>
      </c>
      <c r="M174" s="69">
        <v>-3138</v>
      </c>
      <c r="N174" s="54"/>
      <c r="O174" s="69">
        <v>19426</v>
      </c>
      <c r="P174" s="69">
        <v>19426</v>
      </c>
      <c r="Q174" s="69">
        <v>19426</v>
      </c>
      <c r="R174" s="69">
        <v>16901</v>
      </c>
      <c r="S174" s="69"/>
      <c r="T174" s="69">
        <v>-5170</v>
      </c>
      <c r="U174" s="69">
        <v>-5170</v>
      </c>
      <c r="V174" s="69">
        <v>-4599</v>
      </c>
      <c r="W174" s="54"/>
      <c r="X174" s="69">
        <v>32153</v>
      </c>
      <c r="Y174" s="69">
        <v>31509</v>
      </c>
      <c r="Z174" s="54"/>
      <c r="AA174" s="108">
        <v>-12202</v>
      </c>
      <c r="AB174" s="54"/>
      <c r="AC174" s="108">
        <f>VLOOKUP(A174,'Change in Proportion Calc'!$A$5:$H$311,8,FALSE)+SUMIF($C$5:$AB$5,2026,C174:AB174)</f>
        <v>31329</v>
      </c>
      <c r="AE174" s="107">
        <f t="shared" si="11"/>
        <v>89640</v>
      </c>
      <c r="AF174" s="107">
        <f t="shared" si="12"/>
        <v>23038</v>
      </c>
      <c r="AH174" s="107"/>
      <c r="AI174" s="108"/>
      <c r="AJ174" s="108"/>
      <c r="AK174" s="213">
        <f t="shared" si="10"/>
        <v>31091</v>
      </c>
      <c r="AL174" s="107">
        <f t="shared" si="13"/>
        <v>42887</v>
      </c>
      <c r="AM174" s="107">
        <f t="shared" si="13"/>
        <v>11949</v>
      </c>
      <c r="AN174" s="107">
        <f t="shared" si="13"/>
        <v>14023</v>
      </c>
      <c r="AO174" s="107">
        <f t="shared" si="13"/>
        <v>-2639</v>
      </c>
      <c r="AP174" s="107">
        <f t="shared" si="13"/>
        <v>382</v>
      </c>
    </row>
    <row r="175" spans="1:42">
      <c r="A175" s="53">
        <v>2342</v>
      </c>
      <c r="B175" s="54" t="s">
        <v>163</v>
      </c>
      <c r="C175" s="234">
        <f>_xlfn.XLOOKUP($A175,'Change in Proportion Calc'!$A$5:$A$311,'Change in Proportion Calc'!L$5:L$311,"n",0,1)</f>
        <v>9058</v>
      </c>
      <c r="D175" s="234">
        <f>_xlfn.XLOOKUP($A175,'Change in Proportion Calc'!$A$5:$A$311,'Change in Proportion Calc'!M$5:M$311,"n",0,1)</f>
        <v>9058</v>
      </c>
      <c r="E175" s="234">
        <f>_xlfn.XLOOKUP($A175,'Change in Proportion Calc'!$A$5:$A$311,'Change in Proportion Calc'!N$5:N$311,"n",0,1)</f>
        <v>9058</v>
      </c>
      <c r="F175" s="234">
        <f>_xlfn.XLOOKUP($A175,'Change in Proportion Calc'!$A$5:$A$311,'Change in Proportion Calc'!O$5:O$311,"n",0,1)</f>
        <v>9058</v>
      </c>
      <c r="G175" s="234">
        <f>_xlfn.XLOOKUP($A175,'Change in Proportion Calc'!$A$5:$A$311,'Change in Proportion Calc'!P$5:P$311,"n",0,1)</f>
        <v>6972</v>
      </c>
      <c r="H175" s="54"/>
      <c r="I175" s="69">
        <v>-21612</v>
      </c>
      <c r="J175" s="69">
        <v>-21612</v>
      </c>
      <c r="K175" s="69">
        <v>-21612</v>
      </c>
      <c r="L175" s="69">
        <v>-21612</v>
      </c>
      <c r="M175" s="69">
        <v>-20100</v>
      </c>
      <c r="N175" s="54"/>
      <c r="O175" s="69">
        <v>32064</v>
      </c>
      <c r="P175" s="69">
        <v>32064</v>
      </c>
      <c r="Q175" s="69">
        <v>32064</v>
      </c>
      <c r="R175" s="69">
        <v>27896</v>
      </c>
      <c r="S175" s="69"/>
      <c r="T175" s="69">
        <v>16929</v>
      </c>
      <c r="U175" s="69">
        <v>16929</v>
      </c>
      <c r="V175" s="69">
        <v>15067</v>
      </c>
      <c r="W175" s="54"/>
      <c r="X175" s="69">
        <v>35797</v>
      </c>
      <c r="Y175" s="69">
        <v>35083</v>
      </c>
      <c r="Z175" s="54"/>
      <c r="AA175" s="108">
        <v>8921</v>
      </c>
      <c r="AB175" s="54"/>
      <c r="AC175" s="108">
        <f>VLOOKUP(A175,'Change in Proportion Calc'!$A$5:$H$311,8,FALSE)+SUMIF($C$5:$AB$5,2026,C175:AB175)</f>
        <v>81157</v>
      </c>
      <c r="AE175" s="107">
        <f t="shared" si="11"/>
        <v>202307</v>
      </c>
      <c r="AF175" s="107">
        <f t="shared" si="12"/>
        <v>84936</v>
      </c>
      <c r="AH175" s="107"/>
      <c r="AI175" s="108"/>
      <c r="AJ175" s="108"/>
      <c r="AK175" s="213">
        <f t="shared" si="10"/>
        <v>2342</v>
      </c>
      <c r="AL175" s="107">
        <f t="shared" si="13"/>
        <v>71522</v>
      </c>
      <c r="AM175" s="107">
        <f t="shared" si="13"/>
        <v>34577</v>
      </c>
      <c r="AN175" s="107">
        <f t="shared" si="13"/>
        <v>15342</v>
      </c>
      <c r="AO175" s="107">
        <f t="shared" si="13"/>
        <v>-11042</v>
      </c>
      <c r="AP175" s="107">
        <f t="shared" si="13"/>
        <v>6972</v>
      </c>
    </row>
    <row r="176" spans="1:42">
      <c r="A176" s="51">
        <v>22067</v>
      </c>
      <c r="B176" s="55" t="s">
        <v>164</v>
      </c>
      <c r="C176" s="234">
        <f>_xlfn.XLOOKUP($A176,'Change in Proportion Calc'!$A$5:$A$311,'Change in Proportion Calc'!L$5:L$311,"n",0,1)</f>
        <v>-24575</v>
      </c>
      <c r="D176" s="234">
        <f>_xlfn.XLOOKUP($A176,'Change in Proportion Calc'!$A$5:$A$311,'Change in Proportion Calc'!M$5:M$311,"n",0,1)</f>
        <v>-24575</v>
      </c>
      <c r="E176" s="234">
        <f>_xlfn.XLOOKUP($A176,'Change in Proportion Calc'!$A$5:$A$311,'Change in Proportion Calc'!N$5:N$311,"n",0,1)</f>
        <v>-24575</v>
      </c>
      <c r="F176" s="234">
        <f>_xlfn.XLOOKUP($A176,'Change in Proportion Calc'!$A$5:$A$311,'Change in Proportion Calc'!O$5:O$311,"n",0,1)</f>
        <v>-24575</v>
      </c>
      <c r="G176" s="234">
        <f>_xlfn.XLOOKUP($A176,'Change in Proportion Calc'!$A$5:$A$311,'Change in Proportion Calc'!P$5:P$311,"n",0,1)</f>
        <v>-18922</v>
      </c>
      <c r="H176" s="54"/>
      <c r="I176" s="69">
        <v>-30767</v>
      </c>
      <c r="J176" s="69">
        <v>-30767</v>
      </c>
      <c r="K176" s="69">
        <v>-30767</v>
      </c>
      <c r="L176" s="69">
        <v>-30767</v>
      </c>
      <c r="M176" s="69">
        <v>-28615</v>
      </c>
      <c r="N176" s="54"/>
      <c r="O176" s="69">
        <v>43379</v>
      </c>
      <c r="P176" s="69">
        <v>43379</v>
      </c>
      <c r="Q176" s="69">
        <v>43379</v>
      </c>
      <c r="R176" s="69">
        <v>37739</v>
      </c>
      <c r="S176" s="69"/>
      <c r="T176" s="69">
        <v>16793</v>
      </c>
      <c r="U176" s="69">
        <v>16793</v>
      </c>
      <c r="V176" s="69">
        <v>14945</v>
      </c>
      <c r="W176" s="54"/>
      <c r="X176" s="69">
        <v>-45273</v>
      </c>
      <c r="Y176" s="69">
        <v>-44368</v>
      </c>
      <c r="Z176" s="54"/>
      <c r="AA176" s="108">
        <v>92316</v>
      </c>
      <c r="AB176" s="54"/>
      <c r="AC176" s="108">
        <f>VLOOKUP(A176,'Change in Proportion Calc'!$A$5:$H$311,8,FALSE)+SUMIF($C$5:$AB$5,2026,C176:AB176)</f>
        <v>51873</v>
      </c>
      <c r="AE176" s="107">
        <f t="shared" si="11"/>
        <v>156235</v>
      </c>
      <c r="AF176" s="107">
        <f t="shared" si="12"/>
        <v>282506</v>
      </c>
      <c r="AH176" s="107"/>
      <c r="AI176" s="108"/>
      <c r="AJ176" s="108"/>
      <c r="AK176" s="213">
        <f t="shared" si="10"/>
        <v>22067</v>
      </c>
      <c r="AL176" s="107">
        <f t="shared" si="13"/>
        <v>-39538</v>
      </c>
      <c r="AM176" s="107">
        <f t="shared" si="13"/>
        <v>2982</v>
      </c>
      <c r="AN176" s="107">
        <f t="shared" si="13"/>
        <v>-17603</v>
      </c>
      <c r="AO176" s="107">
        <f t="shared" si="13"/>
        <v>-53190</v>
      </c>
      <c r="AP176" s="107">
        <f t="shared" si="13"/>
        <v>-18922</v>
      </c>
    </row>
    <row r="177" spans="1:42">
      <c r="A177" s="53">
        <v>25616</v>
      </c>
      <c r="B177" s="54" t="s">
        <v>165</v>
      </c>
      <c r="C177" s="234">
        <f>_xlfn.XLOOKUP($A177,'Change in Proportion Calc'!$A$5:$A$311,'Change in Proportion Calc'!L$5:L$311,"n",0,1)</f>
        <v>-6732</v>
      </c>
      <c r="D177" s="234">
        <f>_xlfn.XLOOKUP($A177,'Change in Proportion Calc'!$A$5:$A$311,'Change in Proportion Calc'!M$5:M$311,"n",0,1)</f>
        <v>-6732</v>
      </c>
      <c r="E177" s="234">
        <f>_xlfn.XLOOKUP($A177,'Change in Proportion Calc'!$A$5:$A$311,'Change in Proportion Calc'!N$5:N$311,"n",0,1)</f>
        <v>-6732</v>
      </c>
      <c r="F177" s="234">
        <f>_xlfn.XLOOKUP($A177,'Change in Proportion Calc'!$A$5:$A$311,'Change in Proportion Calc'!O$5:O$311,"n",0,1)</f>
        <v>-6732</v>
      </c>
      <c r="G177" s="234">
        <f>_xlfn.XLOOKUP($A177,'Change in Proportion Calc'!$A$5:$A$311,'Change in Proportion Calc'!P$5:P$311,"n",0,1)</f>
        <v>-5186</v>
      </c>
      <c r="H177" s="54"/>
      <c r="I177" s="69">
        <v>-15241</v>
      </c>
      <c r="J177" s="69">
        <v>-15241</v>
      </c>
      <c r="K177" s="69">
        <v>-15241</v>
      </c>
      <c r="L177" s="69">
        <v>-15241</v>
      </c>
      <c r="M177" s="69">
        <v>-14175</v>
      </c>
      <c r="N177" s="54"/>
      <c r="O177" s="69">
        <v>-21613</v>
      </c>
      <c r="P177" s="69">
        <v>-21613</v>
      </c>
      <c r="Q177" s="69">
        <v>-21613</v>
      </c>
      <c r="R177" s="69">
        <v>-18805</v>
      </c>
      <c r="S177" s="69"/>
      <c r="T177" s="69">
        <v>-11952</v>
      </c>
      <c r="U177" s="69">
        <v>-11952</v>
      </c>
      <c r="V177" s="69">
        <v>-10635</v>
      </c>
      <c r="W177" s="54"/>
      <c r="X177" s="69">
        <v>10286</v>
      </c>
      <c r="Y177" s="69">
        <v>10078</v>
      </c>
      <c r="Z177" s="54"/>
      <c r="AA177" s="108">
        <v>-9844</v>
      </c>
      <c r="AB177" s="54"/>
      <c r="AC177" s="108">
        <f>VLOOKUP(A177,'Change in Proportion Calc'!$A$5:$H$311,8,FALSE)+SUMIF($C$5:$AB$5,2026,C177:AB177)</f>
        <v>-55096</v>
      </c>
      <c r="AE177" s="107">
        <f t="shared" si="11"/>
        <v>10078</v>
      </c>
      <c r="AF177" s="107">
        <f t="shared" si="12"/>
        <v>176630</v>
      </c>
      <c r="AH177" s="107"/>
      <c r="AI177" s="108"/>
      <c r="AJ177" s="108"/>
      <c r="AK177" s="213">
        <f t="shared" si="10"/>
        <v>25616</v>
      </c>
      <c r="AL177" s="107">
        <f t="shared" si="13"/>
        <v>-45460</v>
      </c>
      <c r="AM177" s="107">
        <f t="shared" si="13"/>
        <v>-54221</v>
      </c>
      <c r="AN177" s="107">
        <f t="shared" si="13"/>
        <v>-40778</v>
      </c>
      <c r="AO177" s="107">
        <f t="shared" si="13"/>
        <v>-20907</v>
      </c>
      <c r="AP177" s="107">
        <f t="shared" si="13"/>
        <v>-5186</v>
      </c>
    </row>
    <row r="178" spans="1:42">
      <c r="A178" s="51">
        <v>2354</v>
      </c>
      <c r="B178" s="55" t="s">
        <v>166</v>
      </c>
      <c r="C178" s="234">
        <f>_xlfn.XLOOKUP($A178,'Change in Proportion Calc'!$A$5:$A$311,'Change in Proportion Calc'!L$5:L$311,"n",0,1)</f>
        <v>-9046</v>
      </c>
      <c r="D178" s="234">
        <f>_xlfn.XLOOKUP($A178,'Change in Proportion Calc'!$A$5:$A$311,'Change in Proportion Calc'!M$5:M$311,"n",0,1)</f>
        <v>-9046</v>
      </c>
      <c r="E178" s="234">
        <f>_xlfn.XLOOKUP($A178,'Change in Proportion Calc'!$A$5:$A$311,'Change in Proportion Calc'!N$5:N$311,"n",0,1)</f>
        <v>-9046</v>
      </c>
      <c r="F178" s="234">
        <f>_xlfn.XLOOKUP($A178,'Change in Proportion Calc'!$A$5:$A$311,'Change in Proportion Calc'!O$5:O$311,"n",0,1)</f>
        <v>-9046</v>
      </c>
      <c r="G178" s="234">
        <f>_xlfn.XLOOKUP($A178,'Change in Proportion Calc'!$A$5:$A$311,'Change in Proportion Calc'!P$5:P$311,"n",0,1)</f>
        <v>-6963</v>
      </c>
      <c r="H178" s="54"/>
      <c r="I178" s="69">
        <v>1476</v>
      </c>
      <c r="J178" s="69">
        <v>1476</v>
      </c>
      <c r="K178" s="69">
        <v>1476</v>
      </c>
      <c r="L178" s="69">
        <v>1476</v>
      </c>
      <c r="M178" s="69">
        <v>1371</v>
      </c>
      <c r="N178" s="54"/>
      <c r="O178" s="69">
        <v>-30262</v>
      </c>
      <c r="P178" s="69">
        <v>-30262</v>
      </c>
      <c r="Q178" s="69">
        <v>-30262</v>
      </c>
      <c r="R178" s="69">
        <v>-26327</v>
      </c>
      <c r="S178" s="69"/>
      <c r="T178" s="69">
        <v>76403</v>
      </c>
      <c r="U178" s="69">
        <v>76403</v>
      </c>
      <c r="V178" s="69">
        <v>68001</v>
      </c>
      <c r="W178" s="54"/>
      <c r="X178" s="69">
        <v>-2187</v>
      </c>
      <c r="Y178" s="69">
        <v>-2142</v>
      </c>
      <c r="Z178" s="54"/>
      <c r="AA178" s="108">
        <v>-5217</v>
      </c>
      <c r="AB178" s="54"/>
      <c r="AC178" s="108">
        <f>VLOOKUP(A178,'Change in Proportion Calc'!$A$5:$H$311,8,FALSE)+SUMIF($C$5:$AB$5,2026,C178:AB178)</f>
        <v>31167</v>
      </c>
      <c r="AE178" s="107">
        <f t="shared" si="11"/>
        <v>150203</v>
      </c>
      <c r="AF178" s="107">
        <f t="shared" si="12"/>
        <v>132140</v>
      </c>
      <c r="AH178" s="107"/>
      <c r="AI178" s="108"/>
      <c r="AJ178" s="108"/>
      <c r="AK178" s="213">
        <f t="shared" si="10"/>
        <v>2354</v>
      </c>
      <c r="AL178" s="107">
        <f t="shared" si="13"/>
        <v>36429</v>
      </c>
      <c r="AM178" s="107">
        <f t="shared" si="13"/>
        <v>30169</v>
      </c>
      <c r="AN178" s="107">
        <f t="shared" si="13"/>
        <v>-33897</v>
      </c>
      <c r="AO178" s="107">
        <f t="shared" si="13"/>
        <v>-7675</v>
      </c>
      <c r="AP178" s="107">
        <f t="shared" si="13"/>
        <v>-6963</v>
      </c>
    </row>
    <row r="179" spans="1:42">
      <c r="A179" s="53">
        <v>2148</v>
      </c>
      <c r="B179" s="54" t="s">
        <v>167</v>
      </c>
      <c r="C179" s="234">
        <f>_xlfn.XLOOKUP($A179,'Change in Proportion Calc'!$A$5:$A$311,'Change in Proportion Calc'!L$5:L$311,"n",0,1)</f>
        <v>-8971</v>
      </c>
      <c r="D179" s="234">
        <f>_xlfn.XLOOKUP($A179,'Change in Proportion Calc'!$A$5:$A$311,'Change in Proportion Calc'!M$5:M$311,"n",0,1)</f>
        <v>-8971</v>
      </c>
      <c r="E179" s="234">
        <f>_xlfn.XLOOKUP($A179,'Change in Proportion Calc'!$A$5:$A$311,'Change in Proportion Calc'!N$5:N$311,"n",0,1)</f>
        <v>-8971</v>
      </c>
      <c r="F179" s="234">
        <f>_xlfn.XLOOKUP($A179,'Change in Proportion Calc'!$A$5:$A$311,'Change in Proportion Calc'!O$5:O$311,"n",0,1)</f>
        <v>-8971</v>
      </c>
      <c r="G179" s="234">
        <f>_xlfn.XLOOKUP($A179,'Change in Proportion Calc'!$A$5:$A$311,'Change in Proportion Calc'!P$5:P$311,"n",0,1)</f>
        <v>-6905</v>
      </c>
      <c r="H179" s="54"/>
      <c r="I179" s="69">
        <v>-1604</v>
      </c>
      <c r="J179" s="69">
        <v>-1604</v>
      </c>
      <c r="K179" s="69">
        <v>-1604</v>
      </c>
      <c r="L179" s="69">
        <v>-1604</v>
      </c>
      <c r="M179" s="69">
        <v>-1490</v>
      </c>
      <c r="N179" s="54"/>
      <c r="O179" s="69">
        <v>-9927</v>
      </c>
      <c r="P179" s="69">
        <v>-9927</v>
      </c>
      <c r="Q179" s="69">
        <v>-9927</v>
      </c>
      <c r="R179" s="69">
        <v>-8637</v>
      </c>
      <c r="S179" s="69"/>
      <c r="T179" s="69">
        <v>-5564</v>
      </c>
      <c r="U179" s="69">
        <v>-5564</v>
      </c>
      <c r="V179" s="69">
        <v>-4952</v>
      </c>
      <c r="W179" s="54"/>
      <c r="X179" s="69">
        <v>-162</v>
      </c>
      <c r="Y179" s="69">
        <v>-159</v>
      </c>
      <c r="Z179" s="54"/>
      <c r="AA179" s="108">
        <v>-10350</v>
      </c>
      <c r="AB179" s="54"/>
      <c r="AC179" s="108">
        <f>VLOOKUP(A179,'Change in Proportion Calc'!$A$5:$H$311,8,FALSE)+SUMIF($C$5:$AB$5,2026,C179:AB179)</f>
        <v>-36578</v>
      </c>
      <c r="AE179" s="107">
        <f t="shared" si="11"/>
        <v>0</v>
      </c>
      <c r="AF179" s="107">
        <f t="shared" si="12"/>
        <v>88257</v>
      </c>
      <c r="AH179" s="107"/>
      <c r="AI179" s="108"/>
      <c r="AJ179" s="108"/>
      <c r="AK179" s="213">
        <f t="shared" si="10"/>
        <v>2148</v>
      </c>
      <c r="AL179" s="107">
        <f t="shared" si="13"/>
        <v>-26225</v>
      </c>
      <c r="AM179" s="107">
        <f t="shared" si="13"/>
        <v>-25454</v>
      </c>
      <c r="AN179" s="107">
        <f t="shared" si="13"/>
        <v>-19212</v>
      </c>
      <c r="AO179" s="107">
        <f t="shared" si="13"/>
        <v>-10461</v>
      </c>
      <c r="AP179" s="107">
        <f t="shared" si="13"/>
        <v>-6905</v>
      </c>
    </row>
    <row r="180" spans="1:42">
      <c r="A180" s="51">
        <v>1418</v>
      </c>
      <c r="B180" s="55" t="s">
        <v>168</v>
      </c>
      <c r="C180" s="234">
        <f>_xlfn.XLOOKUP($A180,'Change in Proportion Calc'!$A$5:$A$311,'Change in Proportion Calc'!L$5:L$311,"n",0,1)</f>
        <v>27835</v>
      </c>
      <c r="D180" s="234">
        <f>_xlfn.XLOOKUP($A180,'Change in Proportion Calc'!$A$5:$A$311,'Change in Proportion Calc'!M$5:M$311,"n",0,1)</f>
        <v>27835</v>
      </c>
      <c r="E180" s="234">
        <f>_xlfn.XLOOKUP($A180,'Change in Proportion Calc'!$A$5:$A$311,'Change in Proportion Calc'!N$5:N$311,"n",0,1)</f>
        <v>27835</v>
      </c>
      <c r="F180" s="234">
        <f>_xlfn.XLOOKUP($A180,'Change in Proportion Calc'!$A$5:$A$311,'Change in Proportion Calc'!O$5:O$311,"n",0,1)</f>
        <v>27835</v>
      </c>
      <c r="G180" s="234">
        <f>_xlfn.XLOOKUP($A180,'Change in Proportion Calc'!$A$5:$A$311,'Change in Proportion Calc'!P$5:P$311,"n",0,1)</f>
        <v>21433</v>
      </c>
      <c r="H180" s="54"/>
      <c r="I180" s="69">
        <v>-6754</v>
      </c>
      <c r="J180" s="69">
        <v>-6754</v>
      </c>
      <c r="K180" s="69">
        <v>-6754</v>
      </c>
      <c r="L180" s="69">
        <v>-6754</v>
      </c>
      <c r="M180" s="69">
        <v>-6281</v>
      </c>
      <c r="N180" s="54"/>
      <c r="O180" s="69">
        <v>15100</v>
      </c>
      <c r="P180" s="69">
        <v>15100</v>
      </c>
      <c r="Q180" s="69">
        <v>15100</v>
      </c>
      <c r="R180" s="69">
        <v>13135</v>
      </c>
      <c r="S180" s="69"/>
      <c r="T180" s="69">
        <v>34542</v>
      </c>
      <c r="U180" s="69">
        <v>34542</v>
      </c>
      <c r="V180" s="69">
        <v>30742</v>
      </c>
      <c r="W180" s="54"/>
      <c r="X180" s="69">
        <v>210087</v>
      </c>
      <c r="Y180" s="69">
        <v>205883</v>
      </c>
      <c r="Z180" s="54"/>
      <c r="AA180" s="108">
        <v>113351</v>
      </c>
      <c r="AB180" s="54"/>
      <c r="AC180" s="108">
        <f>VLOOKUP(A180,'Change in Proportion Calc'!$A$5:$H$311,8,FALSE)+SUMIF($C$5:$AB$5,2026,C180:AB180)</f>
        <v>394161</v>
      </c>
      <c r="AE180" s="107">
        <f t="shared" si="11"/>
        <v>447275</v>
      </c>
      <c r="AF180" s="107">
        <f t="shared" si="12"/>
        <v>26543</v>
      </c>
      <c r="AH180" s="107"/>
      <c r="AI180" s="108"/>
      <c r="AJ180" s="108"/>
      <c r="AK180" s="213">
        <f t="shared" si="10"/>
        <v>1418</v>
      </c>
      <c r="AL180" s="107">
        <f t="shared" si="13"/>
        <v>276606</v>
      </c>
      <c r="AM180" s="107">
        <f t="shared" si="13"/>
        <v>66923</v>
      </c>
      <c r="AN180" s="107">
        <f t="shared" si="13"/>
        <v>34216</v>
      </c>
      <c r="AO180" s="107">
        <f t="shared" si="13"/>
        <v>21554</v>
      </c>
      <c r="AP180" s="107">
        <f t="shared" si="13"/>
        <v>21433</v>
      </c>
    </row>
    <row r="181" spans="1:42">
      <c r="A181" s="53">
        <v>12102</v>
      </c>
      <c r="B181" s="54" t="s">
        <v>169</v>
      </c>
      <c r="C181" s="234">
        <f>_xlfn.XLOOKUP($A181,'Change in Proportion Calc'!$A$5:$A$311,'Change in Proportion Calc'!L$5:L$311,"n",0,1)</f>
        <v>155569</v>
      </c>
      <c r="D181" s="234">
        <f>_xlfn.XLOOKUP($A181,'Change in Proportion Calc'!$A$5:$A$311,'Change in Proportion Calc'!M$5:M$311,"n",0,1)</f>
        <v>155569</v>
      </c>
      <c r="E181" s="234">
        <f>_xlfn.XLOOKUP($A181,'Change in Proportion Calc'!$A$5:$A$311,'Change in Proportion Calc'!N$5:N$311,"n",0,1)</f>
        <v>155569</v>
      </c>
      <c r="F181" s="234">
        <f>_xlfn.XLOOKUP($A181,'Change in Proportion Calc'!$A$5:$A$311,'Change in Proportion Calc'!O$5:O$311,"n",0,1)</f>
        <v>155569</v>
      </c>
      <c r="G181" s="234">
        <f>_xlfn.XLOOKUP($A181,'Change in Proportion Calc'!$A$5:$A$311,'Change in Proportion Calc'!P$5:P$311,"n",0,1)</f>
        <v>119786</v>
      </c>
      <c r="H181" s="54"/>
      <c r="I181" s="69">
        <v>-322211</v>
      </c>
      <c r="J181" s="69">
        <v>-322211</v>
      </c>
      <c r="K181" s="69">
        <v>-322211</v>
      </c>
      <c r="L181" s="69">
        <v>-322211</v>
      </c>
      <c r="M181" s="69">
        <v>-299656</v>
      </c>
      <c r="N181" s="54"/>
      <c r="O181" s="69">
        <v>29653</v>
      </c>
      <c r="P181" s="69">
        <v>29653</v>
      </c>
      <c r="Q181" s="69">
        <v>29653</v>
      </c>
      <c r="R181" s="69">
        <v>25800</v>
      </c>
      <c r="S181" s="69"/>
      <c r="T181" s="69">
        <v>154658</v>
      </c>
      <c r="U181" s="69">
        <v>154658</v>
      </c>
      <c r="V181" s="69">
        <v>137646</v>
      </c>
      <c r="W181" s="54"/>
      <c r="X181" s="69">
        <v>304763</v>
      </c>
      <c r="Y181" s="69">
        <v>298670</v>
      </c>
      <c r="Z181" s="54"/>
      <c r="AA181" s="108">
        <v>-298823</v>
      </c>
      <c r="AB181" s="54"/>
      <c r="AC181" s="108">
        <f>VLOOKUP(A181,'Change in Proportion Calc'!$A$5:$H$311,8,FALSE)+SUMIF($C$5:$AB$5,2026,C181:AB181)</f>
        <v>23609</v>
      </c>
      <c r="AE181" s="107">
        <f t="shared" si="11"/>
        <v>1418142</v>
      </c>
      <c r="AF181" s="107">
        <f t="shared" si="12"/>
        <v>1266289</v>
      </c>
      <c r="AH181" s="107"/>
      <c r="AI181" s="108"/>
      <c r="AJ181" s="108"/>
      <c r="AK181" s="213">
        <f t="shared" si="10"/>
        <v>12102</v>
      </c>
      <c r="AL181" s="107">
        <f t="shared" si="13"/>
        <v>316339</v>
      </c>
      <c r="AM181" s="107">
        <f t="shared" si="13"/>
        <v>657</v>
      </c>
      <c r="AN181" s="107">
        <f t="shared" si="13"/>
        <v>-140842</v>
      </c>
      <c r="AO181" s="107">
        <f t="shared" si="13"/>
        <v>-144087</v>
      </c>
      <c r="AP181" s="107">
        <f t="shared" si="13"/>
        <v>119786</v>
      </c>
    </row>
    <row r="182" spans="1:42">
      <c r="A182" s="51">
        <v>2414</v>
      </c>
      <c r="B182" s="55" t="s">
        <v>170</v>
      </c>
      <c r="C182" s="234">
        <f>_xlfn.XLOOKUP($A182,'Change in Proportion Calc'!$A$5:$A$311,'Change in Proportion Calc'!L$5:L$311,"n",0,1)</f>
        <v>6370</v>
      </c>
      <c r="D182" s="234">
        <f>_xlfn.XLOOKUP($A182,'Change in Proportion Calc'!$A$5:$A$311,'Change in Proportion Calc'!M$5:M$311,"n",0,1)</f>
        <v>6370</v>
      </c>
      <c r="E182" s="234">
        <f>_xlfn.XLOOKUP($A182,'Change in Proportion Calc'!$A$5:$A$311,'Change in Proportion Calc'!N$5:N$311,"n",0,1)</f>
        <v>6370</v>
      </c>
      <c r="F182" s="234">
        <f>_xlfn.XLOOKUP($A182,'Change in Proportion Calc'!$A$5:$A$311,'Change in Proportion Calc'!O$5:O$311,"n",0,1)</f>
        <v>6370</v>
      </c>
      <c r="G182" s="234">
        <f>_xlfn.XLOOKUP($A182,'Change in Proportion Calc'!$A$5:$A$311,'Change in Proportion Calc'!P$5:P$311,"n",0,1)</f>
        <v>4903</v>
      </c>
      <c r="H182" s="54"/>
      <c r="I182" s="69">
        <v>-14058</v>
      </c>
      <c r="J182" s="69">
        <v>-14058</v>
      </c>
      <c r="K182" s="69">
        <v>-14058</v>
      </c>
      <c r="L182" s="69">
        <v>-14058</v>
      </c>
      <c r="M182" s="69">
        <v>-13072</v>
      </c>
      <c r="N182" s="54"/>
      <c r="O182" s="69">
        <v>39832</v>
      </c>
      <c r="P182" s="69">
        <v>39832</v>
      </c>
      <c r="Q182" s="69">
        <v>39832</v>
      </c>
      <c r="R182" s="69">
        <v>34652</v>
      </c>
      <c r="S182" s="69"/>
      <c r="T182" s="69">
        <v>47436</v>
      </c>
      <c r="U182" s="69">
        <v>47436</v>
      </c>
      <c r="V182" s="69">
        <v>42216</v>
      </c>
      <c r="W182" s="54"/>
      <c r="X182" s="69">
        <v>39685</v>
      </c>
      <c r="Y182" s="69">
        <v>38890</v>
      </c>
      <c r="Z182" s="54"/>
      <c r="AA182" s="108">
        <v>100058</v>
      </c>
      <c r="AB182" s="54"/>
      <c r="AC182" s="108">
        <f>VLOOKUP(A182,'Change in Proportion Calc'!$A$5:$H$311,8,FALSE)+SUMIF($C$5:$AB$5,2026,C182:AB182)</f>
        <v>219323</v>
      </c>
      <c r="AE182" s="107">
        <f t="shared" si="11"/>
        <v>273241</v>
      </c>
      <c r="AF182" s="107">
        <f t="shared" si="12"/>
        <v>55246</v>
      </c>
      <c r="AH182" s="107"/>
      <c r="AI182" s="108"/>
      <c r="AJ182" s="108"/>
      <c r="AK182" s="213">
        <f t="shared" si="10"/>
        <v>2414</v>
      </c>
      <c r="AL182" s="107">
        <f t="shared" si="13"/>
        <v>118470</v>
      </c>
      <c r="AM182" s="107">
        <f t="shared" si="13"/>
        <v>74360</v>
      </c>
      <c r="AN182" s="107">
        <f t="shared" si="13"/>
        <v>26964</v>
      </c>
      <c r="AO182" s="107">
        <f t="shared" si="13"/>
        <v>-6702</v>
      </c>
      <c r="AP182" s="107">
        <f t="shared" si="13"/>
        <v>4903</v>
      </c>
    </row>
    <row r="183" spans="1:42">
      <c r="A183" s="53">
        <v>6124</v>
      </c>
      <c r="B183" s="54" t="s">
        <v>171</v>
      </c>
      <c r="C183" s="234">
        <f>_xlfn.XLOOKUP($A183,'Change in Proportion Calc'!$A$5:$A$311,'Change in Proportion Calc'!L$5:L$311,"n",0,1)</f>
        <v>39748</v>
      </c>
      <c r="D183" s="234">
        <f>_xlfn.XLOOKUP($A183,'Change in Proportion Calc'!$A$5:$A$311,'Change in Proportion Calc'!M$5:M$311,"n",0,1)</f>
        <v>39748</v>
      </c>
      <c r="E183" s="234">
        <f>_xlfn.XLOOKUP($A183,'Change in Proportion Calc'!$A$5:$A$311,'Change in Proportion Calc'!N$5:N$311,"n",0,1)</f>
        <v>39748</v>
      </c>
      <c r="F183" s="234">
        <f>_xlfn.XLOOKUP($A183,'Change in Proportion Calc'!$A$5:$A$311,'Change in Proportion Calc'!O$5:O$311,"n",0,1)</f>
        <v>39748</v>
      </c>
      <c r="G183" s="234">
        <f>_xlfn.XLOOKUP($A183,'Change in Proportion Calc'!$A$5:$A$311,'Change in Proportion Calc'!P$5:P$311,"n",0,1)</f>
        <v>30604</v>
      </c>
      <c r="H183" s="54"/>
      <c r="I183" s="69">
        <v>203534</v>
      </c>
      <c r="J183" s="69">
        <v>203534</v>
      </c>
      <c r="K183" s="69">
        <v>203534</v>
      </c>
      <c r="L183" s="69">
        <v>203534</v>
      </c>
      <c r="M183" s="69">
        <v>189288</v>
      </c>
      <c r="N183" s="54"/>
      <c r="O183" s="69">
        <v>100427</v>
      </c>
      <c r="P183" s="69">
        <v>100427</v>
      </c>
      <c r="Q183" s="69">
        <v>100427</v>
      </c>
      <c r="R183" s="69">
        <v>87370</v>
      </c>
      <c r="S183" s="69"/>
      <c r="T183" s="69">
        <v>-41687</v>
      </c>
      <c r="U183" s="69">
        <v>-41687</v>
      </c>
      <c r="V183" s="69">
        <v>-37099</v>
      </c>
      <c r="W183" s="54"/>
      <c r="X183" s="69">
        <v>-134604</v>
      </c>
      <c r="Y183" s="69">
        <v>-131914</v>
      </c>
      <c r="Z183" s="54"/>
      <c r="AA183" s="108">
        <v>-147432</v>
      </c>
      <c r="AB183" s="54"/>
      <c r="AC183" s="108">
        <f>VLOOKUP(A183,'Change in Proportion Calc'!$A$5:$H$311,8,FALSE)+SUMIF($C$5:$AB$5,2026,C183:AB183)</f>
        <v>19986</v>
      </c>
      <c r="AE183" s="107">
        <f t="shared" si="11"/>
        <v>1277710</v>
      </c>
      <c r="AF183" s="107">
        <f t="shared" si="12"/>
        <v>210700</v>
      </c>
      <c r="AH183" s="107"/>
      <c r="AI183" s="108"/>
      <c r="AJ183" s="108"/>
      <c r="AK183" s="213">
        <f t="shared" si="10"/>
        <v>6124</v>
      </c>
      <c r="AL183" s="107">
        <f t="shared" si="13"/>
        <v>170108</v>
      </c>
      <c r="AM183" s="107">
        <f t="shared" si="13"/>
        <v>306610</v>
      </c>
      <c r="AN183" s="107">
        <f t="shared" si="13"/>
        <v>330652</v>
      </c>
      <c r="AO183" s="107">
        <f t="shared" si="13"/>
        <v>229036</v>
      </c>
      <c r="AP183" s="107">
        <f t="shared" si="13"/>
        <v>30604</v>
      </c>
    </row>
    <row r="184" spans="1:42">
      <c r="A184" s="51">
        <v>4097</v>
      </c>
      <c r="B184" s="55" t="s">
        <v>172</v>
      </c>
      <c r="C184" s="234">
        <f>_xlfn.XLOOKUP($A184,'Change in Proportion Calc'!$A$5:$A$311,'Change in Proportion Calc'!L$5:L$311,"n",0,1)</f>
        <v>-4399</v>
      </c>
      <c r="D184" s="234">
        <f>_xlfn.XLOOKUP($A184,'Change in Proportion Calc'!$A$5:$A$311,'Change in Proportion Calc'!M$5:M$311,"n",0,1)</f>
        <v>-4399</v>
      </c>
      <c r="E184" s="234">
        <f>_xlfn.XLOOKUP($A184,'Change in Proportion Calc'!$A$5:$A$311,'Change in Proportion Calc'!N$5:N$311,"n",0,1)</f>
        <v>-4399</v>
      </c>
      <c r="F184" s="234">
        <f>_xlfn.XLOOKUP($A184,'Change in Proportion Calc'!$A$5:$A$311,'Change in Proportion Calc'!O$5:O$311,"n",0,1)</f>
        <v>-4399</v>
      </c>
      <c r="G184" s="234">
        <f>_xlfn.XLOOKUP($A184,'Change in Proportion Calc'!$A$5:$A$311,'Change in Proportion Calc'!P$5:P$311,"n",0,1)</f>
        <v>-3390</v>
      </c>
      <c r="H184" s="54"/>
      <c r="I184" s="69">
        <v>-54535</v>
      </c>
      <c r="J184" s="69">
        <v>-54535</v>
      </c>
      <c r="K184" s="69">
        <v>-54535</v>
      </c>
      <c r="L184" s="69">
        <v>-54535</v>
      </c>
      <c r="M184" s="69">
        <v>-50717</v>
      </c>
      <c r="N184" s="54"/>
      <c r="O184" s="69">
        <v>16476</v>
      </c>
      <c r="P184" s="69">
        <v>16476</v>
      </c>
      <c r="Q184" s="69">
        <v>16476</v>
      </c>
      <c r="R184" s="69">
        <v>14333</v>
      </c>
      <c r="S184" s="69"/>
      <c r="T184" s="69">
        <v>-13500</v>
      </c>
      <c r="U184" s="69">
        <v>-13500</v>
      </c>
      <c r="V184" s="69">
        <v>-12017</v>
      </c>
      <c r="W184" s="54"/>
      <c r="X184" s="69">
        <v>-22758</v>
      </c>
      <c r="Y184" s="69">
        <v>-22303</v>
      </c>
      <c r="Z184" s="54"/>
      <c r="AA184" s="108">
        <v>-161068</v>
      </c>
      <c r="AB184" s="54"/>
      <c r="AC184" s="108">
        <f>VLOOKUP(A184,'Change in Proportion Calc'!$A$5:$H$311,8,FALSE)+SUMIF($C$5:$AB$5,2026,C184:AB184)</f>
        <v>-239784</v>
      </c>
      <c r="AE184" s="107">
        <f t="shared" si="11"/>
        <v>47285</v>
      </c>
      <c r="AF184" s="107">
        <f t="shared" si="12"/>
        <v>283128</v>
      </c>
      <c r="AH184" s="107"/>
      <c r="AI184" s="108"/>
      <c r="AJ184" s="108"/>
      <c r="AK184" s="213">
        <f t="shared" si="10"/>
        <v>4097</v>
      </c>
      <c r="AL184" s="107">
        <f t="shared" si="13"/>
        <v>-78261</v>
      </c>
      <c r="AM184" s="107">
        <f t="shared" si="13"/>
        <v>-54475</v>
      </c>
      <c r="AN184" s="107">
        <f t="shared" si="13"/>
        <v>-44601</v>
      </c>
      <c r="AO184" s="107">
        <f t="shared" si="13"/>
        <v>-55116</v>
      </c>
      <c r="AP184" s="107">
        <f t="shared" si="13"/>
        <v>-3390</v>
      </c>
    </row>
    <row r="185" spans="1:42">
      <c r="A185" s="53">
        <v>1416</v>
      </c>
      <c r="B185" s="54" t="s">
        <v>173</v>
      </c>
      <c r="C185" s="234">
        <f>_xlfn.XLOOKUP($A185,'Change in Proportion Calc'!$A$5:$A$311,'Change in Proportion Calc'!L$5:L$311,"n",0,1)</f>
        <v>16074</v>
      </c>
      <c r="D185" s="234">
        <f>_xlfn.XLOOKUP($A185,'Change in Proportion Calc'!$A$5:$A$311,'Change in Proportion Calc'!M$5:M$311,"n",0,1)</f>
        <v>16074</v>
      </c>
      <c r="E185" s="234">
        <f>_xlfn.XLOOKUP($A185,'Change in Proportion Calc'!$A$5:$A$311,'Change in Proportion Calc'!N$5:N$311,"n",0,1)</f>
        <v>16074</v>
      </c>
      <c r="F185" s="234">
        <f>_xlfn.XLOOKUP($A185,'Change in Proportion Calc'!$A$5:$A$311,'Change in Proportion Calc'!O$5:O$311,"n",0,1)</f>
        <v>16074</v>
      </c>
      <c r="G185" s="234">
        <f>_xlfn.XLOOKUP($A185,'Change in Proportion Calc'!$A$5:$A$311,'Change in Proportion Calc'!P$5:P$311,"n",0,1)</f>
        <v>12377</v>
      </c>
      <c r="H185" s="54"/>
      <c r="I185" s="69">
        <v>9715</v>
      </c>
      <c r="J185" s="69">
        <v>9715</v>
      </c>
      <c r="K185" s="69">
        <v>9715</v>
      </c>
      <c r="L185" s="69">
        <v>9715</v>
      </c>
      <c r="M185" s="69">
        <v>9033</v>
      </c>
      <c r="N185" s="54"/>
      <c r="O185" s="69">
        <v>20733</v>
      </c>
      <c r="P185" s="69">
        <v>20733</v>
      </c>
      <c r="Q185" s="69">
        <v>20733</v>
      </c>
      <c r="R185" s="69">
        <v>18040</v>
      </c>
      <c r="S185" s="69"/>
      <c r="T185" s="69">
        <v>12905</v>
      </c>
      <c r="U185" s="69">
        <v>12905</v>
      </c>
      <c r="V185" s="69">
        <v>11485</v>
      </c>
      <c r="W185" s="54"/>
      <c r="X185" s="69">
        <v>26646</v>
      </c>
      <c r="Y185" s="69">
        <v>26111</v>
      </c>
      <c r="Z185" s="54"/>
      <c r="AA185" s="108">
        <v>3871</v>
      </c>
      <c r="AB185" s="54"/>
      <c r="AC185" s="108">
        <f>VLOOKUP(A185,'Change in Proportion Calc'!$A$5:$H$311,8,FALSE)+SUMIF($C$5:$AB$5,2026,C185:AB185)</f>
        <v>89944</v>
      </c>
      <c r="AE185" s="107">
        <f t="shared" si="11"/>
        <v>224858</v>
      </c>
      <c r="AF185" s="107">
        <f t="shared" si="12"/>
        <v>0</v>
      </c>
      <c r="AH185" s="107"/>
      <c r="AI185" s="108"/>
      <c r="AJ185" s="108"/>
      <c r="AK185" s="213">
        <f t="shared" si="10"/>
        <v>1416</v>
      </c>
      <c r="AL185" s="107">
        <f t="shared" si="13"/>
        <v>85538</v>
      </c>
      <c r="AM185" s="107">
        <f t="shared" si="13"/>
        <v>58007</v>
      </c>
      <c r="AN185" s="107">
        <f t="shared" si="13"/>
        <v>43829</v>
      </c>
      <c r="AO185" s="107">
        <f t="shared" si="13"/>
        <v>25107</v>
      </c>
      <c r="AP185" s="107">
        <f t="shared" si="13"/>
        <v>12377</v>
      </c>
    </row>
    <row r="186" spans="1:42">
      <c r="A186" s="51">
        <v>1094</v>
      </c>
      <c r="B186" s="55" t="s">
        <v>174</v>
      </c>
      <c r="C186" s="234">
        <f>_xlfn.XLOOKUP($A186,'Change in Proportion Calc'!$A$5:$A$311,'Change in Proportion Calc'!L$5:L$311,"n",0,1)</f>
        <v>-771</v>
      </c>
      <c r="D186" s="234">
        <f>_xlfn.XLOOKUP($A186,'Change in Proportion Calc'!$A$5:$A$311,'Change in Proportion Calc'!M$5:M$311,"n",0,1)</f>
        <v>-771</v>
      </c>
      <c r="E186" s="234">
        <f>_xlfn.XLOOKUP($A186,'Change in Proportion Calc'!$A$5:$A$311,'Change in Proportion Calc'!N$5:N$311,"n",0,1)</f>
        <v>-771</v>
      </c>
      <c r="F186" s="234">
        <f>_xlfn.XLOOKUP($A186,'Change in Proportion Calc'!$A$5:$A$311,'Change in Proportion Calc'!O$5:O$311,"n",0,1)</f>
        <v>-771</v>
      </c>
      <c r="G186" s="234">
        <f>_xlfn.XLOOKUP($A186,'Change in Proportion Calc'!$A$5:$A$311,'Change in Proportion Calc'!P$5:P$311,"n",0,1)</f>
        <v>-591</v>
      </c>
      <c r="H186" s="54"/>
      <c r="I186" s="69">
        <v>-12428</v>
      </c>
      <c r="J186" s="69">
        <v>-12428</v>
      </c>
      <c r="K186" s="69">
        <v>-12428</v>
      </c>
      <c r="L186" s="69">
        <v>-12428</v>
      </c>
      <c r="M186" s="69">
        <v>-11558</v>
      </c>
      <c r="N186" s="54"/>
      <c r="O186" s="69">
        <v>-86094</v>
      </c>
      <c r="P186" s="69">
        <v>-86094</v>
      </c>
      <c r="Q186" s="69">
        <v>-86094</v>
      </c>
      <c r="R186" s="69">
        <v>-74904</v>
      </c>
      <c r="S186" s="69"/>
      <c r="T186" s="69">
        <v>-105698</v>
      </c>
      <c r="U186" s="69">
        <v>-105698</v>
      </c>
      <c r="V186" s="69">
        <v>-94069</v>
      </c>
      <c r="W186" s="54"/>
      <c r="X186" s="69">
        <v>-107473</v>
      </c>
      <c r="Y186" s="69">
        <v>-105324</v>
      </c>
      <c r="Z186" s="54"/>
      <c r="AA186" s="108">
        <v>27435</v>
      </c>
      <c r="AB186" s="54"/>
      <c r="AC186" s="108">
        <f>VLOOKUP(A186,'Change in Proportion Calc'!$A$5:$H$311,8,FALSE)+SUMIF($C$5:$AB$5,2026,C186:AB186)</f>
        <v>-285029</v>
      </c>
      <c r="AE186" s="107">
        <f t="shared" si="11"/>
        <v>0</v>
      </c>
      <c r="AF186" s="107">
        <f t="shared" si="12"/>
        <v>604700</v>
      </c>
      <c r="AH186" s="107"/>
      <c r="AI186" s="108"/>
      <c r="AJ186" s="108"/>
      <c r="AK186" s="213">
        <f t="shared" si="10"/>
        <v>1094</v>
      </c>
      <c r="AL186" s="107">
        <f t="shared" si="13"/>
        <v>-310315</v>
      </c>
      <c r="AM186" s="107">
        <f t="shared" si="13"/>
        <v>-193362</v>
      </c>
      <c r="AN186" s="107">
        <f t="shared" si="13"/>
        <v>-88103</v>
      </c>
      <c r="AO186" s="107">
        <f t="shared" si="13"/>
        <v>-12329</v>
      </c>
      <c r="AP186" s="107">
        <f t="shared" si="13"/>
        <v>-591</v>
      </c>
    </row>
    <row r="187" spans="1:42">
      <c r="A187" s="51">
        <v>15104</v>
      </c>
      <c r="B187" s="55" t="s">
        <v>175</v>
      </c>
      <c r="C187" s="234">
        <f>_xlfn.XLOOKUP($A187,'Change in Proportion Calc'!$A$5:$A$311,'Change in Proportion Calc'!L$5:L$311,"n",0,1)</f>
        <v>-26645</v>
      </c>
      <c r="D187" s="234">
        <f>_xlfn.XLOOKUP($A187,'Change in Proportion Calc'!$A$5:$A$311,'Change in Proportion Calc'!M$5:M$311,"n",0,1)</f>
        <v>-26645</v>
      </c>
      <c r="E187" s="234">
        <f>_xlfn.XLOOKUP($A187,'Change in Proportion Calc'!$A$5:$A$311,'Change in Proportion Calc'!N$5:N$311,"n",0,1)</f>
        <v>-26645</v>
      </c>
      <c r="F187" s="234">
        <f>_xlfn.XLOOKUP($A187,'Change in Proportion Calc'!$A$5:$A$311,'Change in Proportion Calc'!O$5:O$311,"n",0,1)</f>
        <v>-26645</v>
      </c>
      <c r="G187" s="234">
        <f>_xlfn.XLOOKUP($A187,'Change in Proportion Calc'!$A$5:$A$311,'Change in Proportion Calc'!P$5:P$311,"n",0,1)</f>
        <v>-20515</v>
      </c>
      <c r="H187" s="54"/>
      <c r="I187" s="69">
        <v>-38882</v>
      </c>
      <c r="J187" s="69">
        <v>-38882</v>
      </c>
      <c r="K187" s="69">
        <v>-38882</v>
      </c>
      <c r="L187" s="69">
        <v>-38882</v>
      </c>
      <c r="M187" s="69">
        <v>-36160</v>
      </c>
      <c r="N187" s="54"/>
      <c r="O187" s="69">
        <v>-8608</v>
      </c>
      <c r="P187" s="69">
        <v>-8608</v>
      </c>
      <c r="Q187" s="69">
        <v>-8608</v>
      </c>
      <c r="R187" s="69">
        <v>-7487</v>
      </c>
      <c r="S187" s="69"/>
      <c r="T187" s="69">
        <v>34283</v>
      </c>
      <c r="U187" s="69">
        <v>34283</v>
      </c>
      <c r="V187" s="69">
        <v>30514</v>
      </c>
      <c r="W187" s="54"/>
      <c r="X187" s="69">
        <v>-64224</v>
      </c>
      <c r="Y187" s="69">
        <v>-62942</v>
      </c>
      <c r="Z187" s="54"/>
      <c r="AA187" s="108">
        <v>-22385</v>
      </c>
      <c r="AB187" s="54"/>
      <c r="AC187" s="108">
        <f>VLOOKUP(A187,'Change in Proportion Calc'!$A$5:$H$311,8,FALSE)+SUMIF($C$5:$AB$5,2026,C187:AB187)</f>
        <v>-126461</v>
      </c>
      <c r="AE187" s="107">
        <f t="shared" si="11"/>
        <v>64797</v>
      </c>
      <c r="AF187" s="107">
        <f t="shared" si="12"/>
        <v>367546</v>
      </c>
      <c r="AH187" s="107"/>
      <c r="AI187" s="108"/>
      <c r="AJ187" s="108"/>
      <c r="AK187" s="213">
        <f t="shared" si="10"/>
        <v>15104</v>
      </c>
      <c r="AL187" s="107">
        <f t="shared" ref="AL187:AP218" si="14">+SUMIF($C$5:$AB$5,AL$5,$C187:$AB187)</f>
        <v>-102794</v>
      </c>
      <c r="AM187" s="107">
        <f t="shared" si="14"/>
        <v>-43621</v>
      </c>
      <c r="AN187" s="107">
        <f t="shared" si="14"/>
        <v>-73014</v>
      </c>
      <c r="AO187" s="107">
        <f t="shared" si="14"/>
        <v>-62805</v>
      </c>
      <c r="AP187" s="107">
        <f t="shared" si="14"/>
        <v>-20515</v>
      </c>
    </row>
    <row r="188" spans="1:42">
      <c r="A188" s="53">
        <v>2520</v>
      </c>
      <c r="B188" s="54" t="s">
        <v>176</v>
      </c>
      <c r="C188" s="234">
        <f>_xlfn.XLOOKUP($A188,'Change in Proportion Calc'!$A$5:$A$311,'Change in Proportion Calc'!L$5:L$311,"n",0,1)</f>
        <v>19007</v>
      </c>
      <c r="D188" s="234">
        <f>_xlfn.XLOOKUP($A188,'Change in Proportion Calc'!$A$5:$A$311,'Change in Proportion Calc'!M$5:M$311,"n",0,1)</f>
        <v>19007</v>
      </c>
      <c r="E188" s="234">
        <f>_xlfn.XLOOKUP($A188,'Change in Proportion Calc'!$A$5:$A$311,'Change in Proportion Calc'!N$5:N$311,"n",0,1)</f>
        <v>19007</v>
      </c>
      <c r="F188" s="234">
        <f>_xlfn.XLOOKUP($A188,'Change in Proportion Calc'!$A$5:$A$311,'Change in Proportion Calc'!O$5:O$311,"n",0,1)</f>
        <v>19007</v>
      </c>
      <c r="G188" s="234">
        <f>_xlfn.XLOOKUP($A188,'Change in Proportion Calc'!$A$5:$A$311,'Change in Proportion Calc'!P$5:P$311,"n",0,1)</f>
        <v>14636</v>
      </c>
      <c r="H188" s="54"/>
      <c r="I188" s="69">
        <v>24104</v>
      </c>
      <c r="J188" s="69">
        <v>24104</v>
      </c>
      <c r="K188" s="69">
        <v>24104</v>
      </c>
      <c r="L188" s="69">
        <v>24104</v>
      </c>
      <c r="M188" s="69">
        <v>22418</v>
      </c>
      <c r="N188" s="54"/>
      <c r="O188" s="69">
        <v>-1802</v>
      </c>
      <c r="P188" s="69">
        <v>-1802</v>
      </c>
      <c r="Q188" s="69">
        <v>-1802</v>
      </c>
      <c r="R188" s="69">
        <v>-1570</v>
      </c>
      <c r="S188" s="69"/>
      <c r="T188" s="69">
        <v>23690</v>
      </c>
      <c r="U188" s="69">
        <v>23690</v>
      </c>
      <c r="V188" s="69">
        <v>21082</v>
      </c>
      <c r="W188" s="54"/>
      <c r="X188" s="69">
        <v>29804</v>
      </c>
      <c r="Y188" s="69">
        <v>29209</v>
      </c>
      <c r="Z188" s="54"/>
      <c r="AA188" s="108">
        <v>-16156</v>
      </c>
      <c r="AB188" s="54"/>
      <c r="AC188" s="108">
        <f>VLOOKUP(A188,'Change in Proportion Calc'!$A$5:$H$311,8,FALSE)+SUMIF($C$5:$AB$5,2026,C188:AB188)</f>
        <v>78647</v>
      </c>
      <c r="AE188" s="107">
        <f t="shared" si="11"/>
        <v>259375</v>
      </c>
      <c r="AF188" s="107">
        <f t="shared" si="12"/>
        <v>5174</v>
      </c>
      <c r="AH188" s="107"/>
      <c r="AI188" s="108"/>
      <c r="AJ188" s="108"/>
      <c r="AK188" s="213">
        <f t="shared" si="10"/>
        <v>2520</v>
      </c>
      <c r="AL188" s="107">
        <f t="shared" si="14"/>
        <v>94208</v>
      </c>
      <c r="AM188" s="107">
        <f t="shared" si="14"/>
        <v>62391</v>
      </c>
      <c r="AN188" s="107">
        <f t="shared" si="14"/>
        <v>41541</v>
      </c>
      <c r="AO188" s="107">
        <f t="shared" si="14"/>
        <v>41425</v>
      </c>
      <c r="AP188" s="107">
        <f t="shared" si="14"/>
        <v>14636</v>
      </c>
    </row>
    <row r="189" spans="1:42">
      <c r="A189" s="51">
        <v>3450</v>
      </c>
      <c r="B189" s="55" t="s">
        <v>177</v>
      </c>
      <c r="C189" s="234">
        <f>_xlfn.XLOOKUP($A189,'Change in Proportion Calc'!$A$5:$A$311,'Change in Proportion Calc'!L$5:L$311,"n",0,1)</f>
        <v>43652</v>
      </c>
      <c r="D189" s="234">
        <f>_xlfn.XLOOKUP($A189,'Change in Proportion Calc'!$A$5:$A$311,'Change in Proportion Calc'!M$5:M$311,"n",0,1)</f>
        <v>43652</v>
      </c>
      <c r="E189" s="234">
        <f>_xlfn.XLOOKUP($A189,'Change in Proportion Calc'!$A$5:$A$311,'Change in Proportion Calc'!N$5:N$311,"n",0,1)</f>
        <v>43652</v>
      </c>
      <c r="F189" s="234">
        <f>_xlfn.XLOOKUP($A189,'Change in Proportion Calc'!$A$5:$A$311,'Change in Proportion Calc'!O$5:O$311,"n",0,1)</f>
        <v>43652</v>
      </c>
      <c r="G189" s="234">
        <f>_xlfn.XLOOKUP($A189,'Change in Proportion Calc'!$A$5:$A$311,'Change in Proportion Calc'!P$5:P$311,"n",0,1)</f>
        <v>33614</v>
      </c>
      <c r="H189" s="54"/>
      <c r="I189" s="69">
        <v>33048</v>
      </c>
      <c r="J189" s="69">
        <v>33048</v>
      </c>
      <c r="K189" s="69">
        <v>33048</v>
      </c>
      <c r="L189" s="69">
        <v>33048</v>
      </c>
      <c r="M189" s="69">
        <v>30736</v>
      </c>
      <c r="N189" s="54"/>
      <c r="O189" s="69">
        <v>-231</v>
      </c>
      <c r="P189" s="69">
        <v>-231</v>
      </c>
      <c r="Q189" s="69">
        <v>-231</v>
      </c>
      <c r="R189" s="69">
        <v>-203</v>
      </c>
      <c r="S189" s="69"/>
      <c r="T189" s="69">
        <v>-9580</v>
      </c>
      <c r="U189" s="69">
        <v>-9580</v>
      </c>
      <c r="V189" s="69">
        <v>-8524</v>
      </c>
      <c r="W189" s="54"/>
      <c r="X189" s="69">
        <v>2672</v>
      </c>
      <c r="Y189" s="69">
        <v>2621</v>
      </c>
      <c r="Z189" s="54"/>
      <c r="AA189" s="108">
        <v>-12035</v>
      </c>
      <c r="AB189" s="54"/>
      <c r="AC189" s="108">
        <f>VLOOKUP(A189,'Change in Proportion Calc'!$A$5:$H$311,8,FALSE)+SUMIF($C$5:$AB$5,2026,C189:AB189)</f>
        <v>57526</v>
      </c>
      <c r="AE189" s="107">
        <f t="shared" si="11"/>
        <v>340723</v>
      </c>
      <c r="AF189" s="107">
        <f t="shared" si="12"/>
        <v>18769</v>
      </c>
      <c r="AH189" s="107"/>
      <c r="AI189" s="108"/>
      <c r="AJ189" s="108"/>
      <c r="AK189" s="213">
        <f t="shared" si="10"/>
        <v>3450</v>
      </c>
      <c r="AL189" s="107">
        <f t="shared" si="14"/>
        <v>69510</v>
      </c>
      <c r="AM189" s="107">
        <f t="shared" si="14"/>
        <v>67945</v>
      </c>
      <c r="AN189" s="107">
        <f t="shared" si="14"/>
        <v>76497</v>
      </c>
      <c r="AO189" s="107">
        <f t="shared" si="14"/>
        <v>74388</v>
      </c>
      <c r="AP189" s="107">
        <f t="shared" si="14"/>
        <v>33614</v>
      </c>
    </row>
    <row r="190" spans="1:42">
      <c r="A190" s="53">
        <v>4310</v>
      </c>
      <c r="B190" s="54" t="s">
        <v>178</v>
      </c>
      <c r="C190" s="234">
        <f>_xlfn.XLOOKUP($A190,'Change in Proportion Calc'!$A$5:$A$311,'Change in Proportion Calc'!L$5:L$311,"n",0,1)</f>
        <v>17167</v>
      </c>
      <c r="D190" s="234">
        <f>_xlfn.XLOOKUP($A190,'Change in Proportion Calc'!$A$5:$A$311,'Change in Proportion Calc'!M$5:M$311,"n",0,1)</f>
        <v>17167</v>
      </c>
      <c r="E190" s="234">
        <f>_xlfn.XLOOKUP($A190,'Change in Proportion Calc'!$A$5:$A$311,'Change in Proportion Calc'!N$5:N$311,"n",0,1)</f>
        <v>17167</v>
      </c>
      <c r="F190" s="234">
        <f>_xlfn.XLOOKUP($A190,'Change in Proportion Calc'!$A$5:$A$311,'Change in Proportion Calc'!O$5:O$311,"n",0,1)</f>
        <v>17167</v>
      </c>
      <c r="G190" s="234">
        <f>_xlfn.XLOOKUP($A190,'Change in Proportion Calc'!$A$5:$A$311,'Change in Proportion Calc'!P$5:P$311,"n",0,1)</f>
        <v>13218</v>
      </c>
      <c r="H190" s="54"/>
      <c r="I190" s="69">
        <v>24964</v>
      </c>
      <c r="J190" s="69">
        <v>24964</v>
      </c>
      <c r="K190" s="69">
        <v>24964</v>
      </c>
      <c r="L190" s="69">
        <v>24964</v>
      </c>
      <c r="M190" s="69">
        <v>23217</v>
      </c>
      <c r="N190" s="54"/>
      <c r="O190" s="69">
        <v>-29071</v>
      </c>
      <c r="P190" s="69">
        <v>-29071</v>
      </c>
      <c r="Q190" s="69">
        <v>-29071</v>
      </c>
      <c r="R190" s="69">
        <v>-25293</v>
      </c>
      <c r="S190" s="69"/>
      <c r="T190" s="69">
        <v>-23892</v>
      </c>
      <c r="U190" s="69">
        <v>-23892</v>
      </c>
      <c r="V190" s="69">
        <v>-21266</v>
      </c>
      <c r="W190" s="54"/>
      <c r="X190" s="69">
        <v>-18628</v>
      </c>
      <c r="Y190" s="69">
        <v>-18253</v>
      </c>
      <c r="Z190" s="54"/>
      <c r="AA190" s="108">
        <v>506</v>
      </c>
      <c r="AB190" s="54"/>
      <c r="AC190" s="108">
        <f>VLOOKUP(A190,'Change in Proportion Calc'!$A$5:$H$311,8,FALSE)+SUMIF($C$5:$AB$5,2026,C190:AB190)</f>
        <v>-28954</v>
      </c>
      <c r="AE190" s="107">
        <f t="shared" si="11"/>
        <v>179995</v>
      </c>
      <c r="AF190" s="107">
        <f t="shared" si="12"/>
        <v>146846</v>
      </c>
      <c r="AH190" s="107"/>
      <c r="AI190" s="108"/>
      <c r="AJ190" s="108"/>
      <c r="AK190" s="213">
        <f t="shared" si="10"/>
        <v>4310</v>
      </c>
      <c r="AL190" s="107">
        <f t="shared" si="14"/>
        <v>-29085</v>
      </c>
      <c r="AM190" s="107">
        <f t="shared" si="14"/>
        <v>-8206</v>
      </c>
      <c r="AN190" s="107">
        <f t="shared" si="14"/>
        <v>16838</v>
      </c>
      <c r="AO190" s="107">
        <f t="shared" si="14"/>
        <v>40384</v>
      </c>
      <c r="AP190" s="107">
        <f t="shared" si="14"/>
        <v>13218</v>
      </c>
    </row>
    <row r="191" spans="1:42">
      <c r="A191" s="51">
        <v>2328</v>
      </c>
      <c r="B191" s="55" t="s">
        <v>179</v>
      </c>
      <c r="C191" s="234">
        <f>_xlfn.XLOOKUP($A191,'Change in Proportion Calc'!$A$5:$A$311,'Change in Proportion Calc'!L$5:L$311,"n",0,1)</f>
        <v>-57844</v>
      </c>
      <c r="D191" s="234">
        <f>_xlfn.XLOOKUP($A191,'Change in Proportion Calc'!$A$5:$A$311,'Change in Proportion Calc'!M$5:M$311,"n",0,1)</f>
        <v>-57844</v>
      </c>
      <c r="E191" s="234">
        <f>_xlfn.XLOOKUP($A191,'Change in Proportion Calc'!$A$5:$A$311,'Change in Proportion Calc'!N$5:N$311,"n",0,1)</f>
        <v>-57844</v>
      </c>
      <c r="F191" s="234">
        <f>_xlfn.XLOOKUP($A191,'Change in Proportion Calc'!$A$5:$A$311,'Change in Proportion Calc'!O$5:O$311,"n",0,1)</f>
        <v>-57844</v>
      </c>
      <c r="G191" s="234">
        <f>_xlfn.XLOOKUP($A191,'Change in Proportion Calc'!$A$5:$A$311,'Change in Proportion Calc'!P$5:P$311,"n",0,1)</f>
        <v>-44541</v>
      </c>
      <c r="H191" s="54"/>
      <c r="I191" s="69">
        <v>-55286</v>
      </c>
      <c r="J191" s="69">
        <v>-55286</v>
      </c>
      <c r="K191" s="69">
        <v>-55286</v>
      </c>
      <c r="L191" s="69">
        <v>-55286</v>
      </c>
      <c r="M191" s="69">
        <v>-51417</v>
      </c>
      <c r="N191" s="54"/>
      <c r="O191" s="69">
        <v>-11580</v>
      </c>
      <c r="P191" s="69">
        <v>-11580</v>
      </c>
      <c r="Q191" s="69">
        <v>-11580</v>
      </c>
      <c r="R191" s="69">
        <v>-10077</v>
      </c>
      <c r="S191" s="69"/>
      <c r="T191" s="69">
        <v>15912</v>
      </c>
      <c r="U191" s="69">
        <v>15912</v>
      </c>
      <c r="V191" s="69">
        <v>14164</v>
      </c>
      <c r="W191" s="54"/>
      <c r="X191" s="69">
        <v>21948</v>
      </c>
      <c r="Y191" s="69">
        <v>21510</v>
      </c>
      <c r="Z191" s="54"/>
      <c r="AA191" s="108">
        <v>-3871</v>
      </c>
      <c r="AB191" s="54"/>
      <c r="AC191" s="108">
        <f>VLOOKUP(A191,'Change in Proportion Calc'!$A$5:$H$311,8,FALSE)+SUMIF($C$5:$AB$5,2026,C191:AB191)</f>
        <v>-90721</v>
      </c>
      <c r="AE191" s="107">
        <f t="shared" si="11"/>
        <v>51586</v>
      </c>
      <c r="AF191" s="107">
        <f t="shared" si="12"/>
        <v>526429</v>
      </c>
      <c r="AH191" s="107"/>
      <c r="AI191" s="108"/>
      <c r="AJ191" s="108"/>
      <c r="AK191" s="213">
        <f t="shared" si="10"/>
        <v>2328</v>
      </c>
      <c r="AL191" s="107">
        <f t="shared" si="14"/>
        <v>-87288</v>
      </c>
      <c r="AM191" s="107">
        <f t="shared" si="14"/>
        <v>-110546</v>
      </c>
      <c r="AN191" s="107">
        <f t="shared" si="14"/>
        <v>-123207</v>
      </c>
      <c r="AO191" s="107">
        <f t="shared" si="14"/>
        <v>-109261</v>
      </c>
      <c r="AP191" s="107">
        <f t="shared" si="14"/>
        <v>-44541</v>
      </c>
    </row>
    <row r="192" spans="1:42">
      <c r="A192" s="53">
        <v>12151</v>
      </c>
      <c r="B192" s="54" t="s">
        <v>180</v>
      </c>
      <c r="C192" s="234">
        <f>_xlfn.XLOOKUP($A192,'Change in Proportion Calc'!$A$5:$A$311,'Change in Proportion Calc'!L$5:L$311,"n",0,1)</f>
        <v>-22091</v>
      </c>
      <c r="D192" s="234">
        <f>_xlfn.XLOOKUP($A192,'Change in Proportion Calc'!$A$5:$A$311,'Change in Proportion Calc'!M$5:M$311,"n",0,1)</f>
        <v>-22091</v>
      </c>
      <c r="E192" s="234">
        <f>_xlfn.XLOOKUP($A192,'Change in Proportion Calc'!$A$5:$A$311,'Change in Proportion Calc'!N$5:N$311,"n",0,1)</f>
        <v>-22091</v>
      </c>
      <c r="F192" s="234">
        <f>_xlfn.XLOOKUP($A192,'Change in Proportion Calc'!$A$5:$A$311,'Change in Proportion Calc'!O$5:O$311,"n",0,1)</f>
        <v>-22091</v>
      </c>
      <c r="G192" s="234">
        <f>_xlfn.XLOOKUP($A192,'Change in Proportion Calc'!$A$5:$A$311,'Change in Proportion Calc'!P$5:P$311,"n",0,1)</f>
        <v>-17009</v>
      </c>
      <c r="H192" s="54"/>
      <c r="I192" s="69">
        <v>21166</v>
      </c>
      <c r="J192" s="69">
        <v>21166</v>
      </c>
      <c r="K192" s="69">
        <v>21166</v>
      </c>
      <c r="L192" s="69">
        <v>21166</v>
      </c>
      <c r="M192" s="69">
        <v>19686</v>
      </c>
      <c r="N192" s="54"/>
      <c r="O192" s="69">
        <v>686</v>
      </c>
      <c r="P192" s="69">
        <v>686</v>
      </c>
      <c r="Q192" s="69">
        <v>686</v>
      </c>
      <c r="R192" s="69">
        <v>597</v>
      </c>
      <c r="S192" s="69"/>
      <c r="T192" s="69">
        <v>-9688</v>
      </c>
      <c r="U192" s="69">
        <v>-9688</v>
      </c>
      <c r="V192" s="69">
        <v>-8621</v>
      </c>
      <c r="W192" s="54"/>
      <c r="X192" s="69">
        <v>7937</v>
      </c>
      <c r="Y192" s="69">
        <v>7778</v>
      </c>
      <c r="Z192" s="54"/>
      <c r="AA192" s="108">
        <v>-32819</v>
      </c>
      <c r="AB192" s="54"/>
      <c r="AC192" s="108">
        <f>VLOOKUP(A192,'Change in Proportion Calc'!$A$5:$H$311,8,FALSE)+SUMIF($C$5:$AB$5,2026,C192:AB192)</f>
        <v>-34809</v>
      </c>
      <c r="AE192" s="107">
        <f t="shared" si="11"/>
        <v>92931</v>
      </c>
      <c r="AF192" s="107">
        <f t="shared" si="12"/>
        <v>123682</v>
      </c>
      <c r="AH192" s="107"/>
      <c r="AI192" s="108"/>
      <c r="AJ192" s="108"/>
      <c r="AK192" s="213">
        <f t="shared" si="10"/>
        <v>12151</v>
      </c>
      <c r="AL192" s="107">
        <f t="shared" si="14"/>
        <v>-2149</v>
      </c>
      <c r="AM192" s="107">
        <f t="shared" si="14"/>
        <v>-8860</v>
      </c>
      <c r="AN192" s="107">
        <f t="shared" si="14"/>
        <v>-328</v>
      </c>
      <c r="AO192" s="107">
        <f t="shared" si="14"/>
        <v>-2405</v>
      </c>
      <c r="AP192" s="107">
        <f t="shared" si="14"/>
        <v>-17009</v>
      </c>
    </row>
    <row r="193" spans="1:42">
      <c r="A193" s="51">
        <v>17105</v>
      </c>
      <c r="B193" s="55" t="s">
        <v>476</v>
      </c>
      <c r="C193" s="234">
        <f>_xlfn.XLOOKUP($A193,'Change in Proportion Calc'!$A$5:$A$311,'Change in Proportion Calc'!L$5:L$311,"n",0,1)</f>
        <v>38502</v>
      </c>
      <c r="D193" s="234">
        <f>_xlfn.XLOOKUP($A193,'Change in Proportion Calc'!$A$5:$A$311,'Change in Proportion Calc'!M$5:M$311,"n",0,1)</f>
        <v>38502</v>
      </c>
      <c r="E193" s="234">
        <f>_xlfn.XLOOKUP($A193,'Change in Proportion Calc'!$A$5:$A$311,'Change in Proportion Calc'!N$5:N$311,"n",0,1)</f>
        <v>38502</v>
      </c>
      <c r="F193" s="234">
        <f>_xlfn.XLOOKUP($A193,'Change in Proportion Calc'!$A$5:$A$311,'Change in Proportion Calc'!O$5:O$311,"n",0,1)</f>
        <v>38502</v>
      </c>
      <c r="G193" s="234">
        <f>_xlfn.XLOOKUP($A193,'Change in Proportion Calc'!$A$5:$A$311,'Change in Proportion Calc'!P$5:P$311,"n",0,1)</f>
        <v>29649</v>
      </c>
      <c r="H193" s="54"/>
      <c r="I193" s="69">
        <v>14721</v>
      </c>
      <c r="J193" s="69">
        <v>14721</v>
      </c>
      <c r="K193" s="69">
        <v>14721</v>
      </c>
      <c r="L193" s="69">
        <v>14721</v>
      </c>
      <c r="M193" s="69">
        <v>13689</v>
      </c>
      <c r="N193" s="54"/>
      <c r="O193" s="69">
        <v>44606</v>
      </c>
      <c r="P193" s="69">
        <v>44606</v>
      </c>
      <c r="Q193" s="69">
        <v>44606</v>
      </c>
      <c r="R193" s="69">
        <v>38808</v>
      </c>
      <c r="S193" s="69"/>
      <c r="T193" s="69">
        <v>-58882</v>
      </c>
      <c r="U193" s="69">
        <v>-58882</v>
      </c>
      <c r="V193" s="69">
        <v>-52406</v>
      </c>
      <c r="W193" s="54"/>
      <c r="X193" s="69">
        <v>102371</v>
      </c>
      <c r="Y193" s="69">
        <v>100322</v>
      </c>
      <c r="Z193" s="54"/>
      <c r="AA193" s="108">
        <v>93996</v>
      </c>
      <c r="AB193" s="54"/>
      <c r="AC193" s="108">
        <f>VLOOKUP(A193,'Change in Proportion Calc'!$A$5:$H$311,8,FALSE)+SUMIF($C$5:$AB$5,2026,C193:AB193)</f>
        <v>235314</v>
      </c>
      <c r="AE193" s="107">
        <f t="shared" si="11"/>
        <v>469851</v>
      </c>
      <c r="AF193" s="107">
        <f t="shared" si="12"/>
        <v>111288</v>
      </c>
      <c r="AH193" s="107"/>
      <c r="AI193" s="108"/>
      <c r="AJ193" s="108"/>
      <c r="AK193" s="213">
        <f t="shared" si="10"/>
        <v>17105</v>
      </c>
      <c r="AL193" s="107">
        <f t="shared" si="14"/>
        <v>139269</v>
      </c>
      <c r="AM193" s="107">
        <f t="shared" si="14"/>
        <v>45423</v>
      </c>
      <c r="AN193" s="107">
        <f t="shared" si="14"/>
        <v>92031</v>
      </c>
      <c r="AO193" s="107">
        <f t="shared" si="14"/>
        <v>52191</v>
      </c>
      <c r="AP193" s="107">
        <f t="shared" si="14"/>
        <v>29649</v>
      </c>
    </row>
    <row r="194" spans="1:42">
      <c r="A194" s="53">
        <v>4215</v>
      </c>
      <c r="B194" s="54" t="s">
        <v>182</v>
      </c>
      <c r="C194" s="234">
        <f>_xlfn.XLOOKUP($A194,'Change in Proportion Calc'!$A$5:$A$311,'Change in Proportion Calc'!L$5:L$311,"n",0,1)</f>
        <v>-10097</v>
      </c>
      <c r="D194" s="234">
        <f>_xlfn.XLOOKUP($A194,'Change in Proportion Calc'!$A$5:$A$311,'Change in Proportion Calc'!M$5:M$311,"n",0,1)</f>
        <v>-10097</v>
      </c>
      <c r="E194" s="234">
        <f>_xlfn.XLOOKUP($A194,'Change in Proportion Calc'!$A$5:$A$311,'Change in Proportion Calc'!N$5:N$311,"n",0,1)</f>
        <v>-10097</v>
      </c>
      <c r="F194" s="234">
        <f>_xlfn.XLOOKUP($A194,'Change in Proportion Calc'!$A$5:$A$311,'Change in Proportion Calc'!O$5:O$311,"n",0,1)</f>
        <v>-10097</v>
      </c>
      <c r="G194" s="234">
        <f>_xlfn.XLOOKUP($A194,'Change in Proportion Calc'!$A$5:$A$311,'Change in Proportion Calc'!P$5:P$311,"n",0,1)</f>
        <v>-7772</v>
      </c>
      <c r="H194" s="54"/>
      <c r="I194" s="69">
        <v>-16744</v>
      </c>
      <c r="J194" s="69">
        <v>-16744</v>
      </c>
      <c r="K194" s="69">
        <v>-16744</v>
      </c>
      <c r="L194" s="69">
        <v>-16744</v>
      </c>
      <c r="M194" s="69">
        <v>-15570</v>
      </c>
      <c r="N194" s="54"/>
      <c r="O194" s="69">
        <v>201651</v>
      </c>
      <c r="P194" s="69">
        <v>201651</v>
      </c>
      <c r="Q194" s="69">
        <v>201651</v>
      </c>
      <c r="R194" s="69">
        <v>175436</v>
      </c>
      <c r="S194" s="69"/>
      <c r="T194" s="69">
        <v>-22073</v>
      </c>
      <c r="U194" s="69">
        <v>-22073</v>
      </c>
      <c r="V194" s="69">
        <v>-19643</v>
      </c>
      <c r="W194" s="54"/>
      <c r="X194" s="69">
        <v>-34340</v>
      </c>
      <c r="Y194" s="69">
        <v>-33651</v>
      </c>
      <c r="Z194" s="54"/>
      <c r="AA194" s="108">
        <v>-18092</v>
      </c>
      <c r="AB194" s="54"/>
      <c r="AC194" s="108">
        <f>VLOOKUP(A194,'Change in Proportion Calc'!$A$5:$H$311,8,FALSE)+SUMIF($C$5:$AB$5,2026,C194:AB194)</f>
        <v>100305</v>
      </c>
      <c r="AE194" s="107">
        <f t="shared" si="11"/>
        <v>578738</v>
      </c>
      <c r="AF194" s="107">
        <f t="shared" si="12"/>
        <v>189329</v>
      </c>
      <c r="AH194" s="107"/>
      <c r="AI194" s="108"/>
      <c r="AJ194" s="108"/>
      <c r="AK194" s="213">
        <f t="shared" si="10"/>
        <v>4215</v>
      </c>
      <c r="AL194" s="107">
        <f t="shared" si="14"/>
        <v>119086</v>
      </c>
      <c r="AM194" s="107">
        <f t="shared" si="14"/>
        <v>155167</v>
      </c>
      <c r="AN194" s="107">
        <f t="shared" si="14"/>
        <v>148595</v>
      </c>
      <c r="AO194" s="107">
        <f t="shared" si="14"/>
        <v>-25667</v>
      </c>
      <c r="AP194" s="107">
        <f t="shared" si="14"/>
        <v>-7772</v>
      </c>
    </row>
    <row r="195" spans="1:42">
      <c r="A195" s="51" t="s">
        <v>785</v>
      </c>
      <c r="B195" s="55" t="s">
        <v>784</v>
      </c>
      <c r="C195" s="234">
        <f>_xlfn.XLOOKUP($A195,'Change in Proportion Calc'!$A$5:$A$311,'Change in Proportion Calc'!L$5:L$311,"n",0,1)</f>
        <v>-4067</v>
      </c>
      <c r="D195" s="234">
        <f>_xlfn.XLOOKUP($A195,'Change in Proportion Calc'!$A$5:$A$311,'Change in Proportion Calc'!M$5:M$311,"n",0,1)</f>
        <v>-4067</v>
      </c>
      <c r="E195" s="234">
        <f>_xlfn.XLOOKUP($A195,'Change in Proportion Calc'!$A$5:$A$311,'Change in Proportion Calc'!N$5:N$311,"n",0,1)</f>
        <v>-4067</v>
      </c>
      <c r="F195" s="234">
        <f>_xlfn.XLOOKUP($A195,'Change in Proportion Calc'!$A$5:$A$311,'Change in Proportion Calc'!O$5:O$311,"n",0,1)</f>
        <v>-4067</v>
      </c>
      <c r="G195" s="234">
        <f>_xlfn.XLOOKUP($A195,'Change in Proportion Calc'!$A$5:$A$311,'Change in Proportion Calc'!P$5:P$311,"n",0,1)</f>
        <v>-3129</v>
      </c>
      <c r="H195" s="54"/>
      <c r="I195" s="69">
        <v>-39248</v>
      </c>
      <c r="J195" s="69">
        <v>-39248</v>
      </c>
      <c r="K195" s="69">
        <v>-39248</v>
      </c>
      <c r="L195" s="69">
        <v>-39248</v>
      </c>
      <c r="M195" s="69">
        <v>-36499</v>
      </c>
      <c r="N195" s="54"/>
      <c r="O195" s="69">
        <v>22939</v>
      </c>
      <c r="P195" s="69">
        <v>22939</v>
      </c>
      <c r="Q195" s="69">
        <v>22939</v>
      </c>
      <c r="R195" s="69">
        <v>19959</v>
      </c>
      <c r="S195" s="69"/>
      <c r="T195" s="69">
        <v>-11275</v>
      </c>
      <c r="U195" s="69">
        <v>-11275</v>
      </c>
      <c r="V195" s="69">
        <v>-10037</v>
      </c>
      <c r="W195" s="54"/>
      <c r="X195" s="69">
        <v>567</v>
      </c>
      <c r="Y195" s="69">
        <v>555</v>
      </c>
      <c r="Z195" s="54"/>
      <c r="AA195" s="108">
        <v>-26846</v>
      </c>
      <c r="AB195" s="54"/>
      <c r="AC195" s="108">
        <f>VLOOKUP(A195,'Change in Proportion Calc'!$A$5:$H$311,8,FALSE)+SUMIF($C$5:$AB$5,2026,C195:AB195)</f>
        <v>-57930</v>
      </c>
      <c r="AE195" s="107">
        <f t="shared" si="11"/>
        <v>66392</v>
      </c>
      <c r="AF195" s="107">
        <f t="shared" si="12"/>
        <v>194952</v>
      </c>
      <c r="AH195" s="107"/>
      <c r="AI195" s="108"/>
      <c r="AJ195" s="108"/>
      <c r="AK195" s="213" t="str">
        <f t="shared" si="10"/>
        <v>E2310</v>
      </c>
      <c r="AL195" s="107">
        <f t="shared" si="14"/>
        <v>-31096</v>
      </c>
      <c r="AM195" s="107">
        <f t="shared" si="14"/>
        <v>-30413</v>
      </c>
      <c r="AN195" s="107">
        <f t="shared" si="14"/>
        <v>-23356</v>
      </c>
      <c r="AO195" s="107">
        <f t="shared" si="14"/>
        <v>-40566</v>
      </c>
      <c r="AP195" s="107">
        <f t="shared" si="14"/>
        <v>-3129</v>
      </c>
    </row>
    <row r="196" spans="1:42">
      <c r="A196" s="51">
        <v>2870</v>
      </c>
      <c r="B196" s="55" t="s">
        <v>183</v>
      </c>
      <c r="C196" s="234">
        <f>_xlfn.XLOOKUP($A196,'Change in Proportion Calc'!$A$5:$A$311,'Change in Proportion Calc'!L$5:L$311,"n",0,1)</f>
        <v>-9613</v>
      </c>
      <c r="D196" s="234">
        <f>_xlfn.XLOOKUP($A196,'Change in Proportion Calc'!$A$5:$A$311,'Change in Proportion Calc'!M$5:M$311,"n",0,1)</f>
        <v>-9613</v>
      </c>
      <c r="E196" s="234">
        <f>_xlfn.XLOOKUP($A196,'Change in Proportion Calc'!$A$5:$A$311,'Change in Proportion Calc'!N$5:N$311,"n",0,1)</f>
        <v>-9613</v>
      </c>
      <c r="F196" s="234">
        <f>_xlfn.XLOOKUP($A196,'Change in Proportion Calc'!$A$5:$A$311,'Change in Proportion Calc'!O$5:O$311,"n",0,1)</f>
        <v>-9613</v>
      </c>
      <c r="G196" s="234">
        <f>_xlfn.XLOOKUP($A196,'Change in Proportion Calc'!$A$5:$A$311,'Change in Proportion Calc'!P$5:P$311,"n",0,1)</f>
        <v>-7402</v>
      </c>
      <c r="H196" s="54"/>
      <c r="I196" s="69">
        <v>-7413</v>
      </c>
      <c r="J196" s="69">
        <v>-7413</v>
      </c>
      <c r="K196" s="69">
        <v>-7413</v>
      </c>
      <c r="L196" s="69">
        <v>-7413</v>
      </c>
      <c r="M196" s="69">
        <v>-6892</v>
      </c>
      <c r="N196" s="54"/>
      <c r="O196" s="69">
        <v>-308</v>
      </c>
      <c r="P196" s="69">
        <v>-308</v>
      </c>
      <c r="Q196" s="69">
        <v>-308</v>
      </c>
      <c r="R196" s="69">
        <v>-267</v>
      </c>
      <c r="S196" s="69"/>
      <c r="T196" s="69">
        <v>13544</v>
      </c>
      <c r="U196" s="69">
        <v>13544</v>
      </c>
      <c r="V196" s="69">
        <v>12052</v>
      </c>
      <c r="W196" s="54"/>
      <c r="X196" s="69">
        <v>2430</v>
      </c>
      <c r="Y196" s="69">
        <v>2380</v>
      </c>
      <c r="Z196" s="54"/>
      <c r="AA196" s="108">
        <v>-16662</v>
      </c>
      <c r="AB196" s="54"/>
      <c r="AC196" s="108">
        <f>VLOOKUP(A196,'Change in Proportion Calc'!$A$5:$H$311,8,FALSE)+SUMIF($C$5:$AB$5,2026,C196:AB196)</f>
        <v>-18022</v>
      </c>
      <c r="AE196" s="107">
        <f t="shared" si="11"/>
        <v>27976</v>
      </c>
      <c r="AF196" s="107">
        <f t="shared" si="12"/>
        <v>75868</v>
      </c>
      <c r="AH196" s="107"/>
      <c r="AI196" s="108"/>
      <c r="AJ196" s="108"/>
      <c r="AK196" s="213">
        <f t="shared" si="10"/>
        <v>2870</v>
      </c>
      <c r="AL196" s="107">
        <f t="shared" si="14"/>
        <v>-1410</v>
      </c>
      <c r="AM196" s="107">
        <f t="shared" si="14"/>
        <v>-5282</v>
      </c>
      <c r="AN196" s="107">
        <f t="shared" si="14"/>
        <v>-17293</v>
      </c>
      <c r="AO196" s="107">
        <f t="shared" si="14"/>
        <v>-16505</v>
      </c>
      <c r="AP196" s="107">
        <f t="shared" si="14"/>
        <v>-7402</v>
      </c>
    </row>
    <row r="197" spans="1:42">
      <c r="A197" s="53">
        <v>29150</v>
      </c>
      <c r="B197" s="54" t="s">
        <v>184</v>
      </c>
      <c r="C197" s="234">
        <f>_xlfn.XLOOKUP($A197,'Change in Proportion Calc'!$A$5:$A$311,'Change in Proportion Calc'!L$5:L$311,"n",0,1)</f>
        <v>73967</v>
      </c>
      <c r="D197" s="234">
        <f>_xlfn.XLOOKUP($A197,'Change in Proportion Calc'!$A$5:$A$311,'Change in Proportion Calc'!M$5:M$311,"n",0,1)</f>
        <v>73967</v>
      </c>
      <c r="E197" s="234">
        <f>_xlfn.XLOOKUP($A197,'Change in Proportion Calc'!$A$5:$A$311,'Change in Proportion Calc'!N$5:N$311,"n",0,1)</f>
        <v>73967</v>
      </c>
      <c r="F197" s="234">
        <f>_xlfn.XLOOKUP($A197,'Change in Proportion Calc'!$A$5:$A$311,'Change in Proportion Calc'!O$5:O$311,"n",0,1)</f>
        <v>73967</v>
      </c>
      <c r="G197" s="234">
        <f>_xlfn.XLOOKUP($A197,'Change in Proportion Calc'!$A$5:$A$311,'Change in Proportion Calc'!P$5:P$311,"n",0,1)</f>
        <v>56956</v>
      </c>
      <c r="H197" s="54"/>
      <c r="I197" s="69">
        <v>-12269</v>
      </c>
      <c r="J197" s="69">
        <v>-12269</v>
      </c>
      <c r="K197" s="69">
        <v>-12269</v>
      </c>
      <c r="L197" s="69">
        <v>-12269</v>
      </c>
      <c r="M197" s="69">
        <v>-11410</v>
      </c>
      <c r="N197" s="54"/>
      <c r="O197" s="69">
        <v>157</v>
      </c>
      <c r="P197" s="69">
        <v>157</v>
      </c>
      <c r="Q197" s="69">
        <v>157</v>
      </c>
      <c r="R197" s="69">
        <v>137</v>
      </c>
      <c r="S197" s="69"/>
      <c r="T197" s="69">
        <v>-9308</v>
      </c>
      <c r="U197" s="69">
        <v>-9308</v>
      </c>
      <c r="V197" s="69">
        <v>-8283</v>
      </c>
      <c r="W197" s="54"/>
      <c r="X197" s="69">
        <v>-10771</v>
      </c>
      <c r="Y197" s="69">
        <v>-10558</v>
      </c>
      <c r="Z197" s="54"/>
      <c r="AA197" s="108">
        <v>-9339</v>
      </c>
      <c r="AB197" s="54"/>
      <c r="AC197" s="108">
        <f>VLOOKUP(A197,'Change in Proportion Calc'!$A$5:$H$311,8,FALSE)+SUMIF($C$5:$AB$5,2026,C197:AB197)</f>
        <v>32437</v>
      </c>
      <c r="AE197" s="107">
        <f t="shared" si="11"/>
        <v>353275</v>
      </c>
      <c r="AF197" s="107">
        <f t="shared" si="12"/>
        <v>76366</v>
      </c>
      <c r="AH197" s="107"/>
      <c r="AI197" s="108"/>
      <c r="AJ197" s="108"/>
      <c r="AK197" s="213">
        <f t="shared" si="10"/>
        <v>29150</v>
      </c>
      <c r="AL197" s="107">
        <f t="shared" si="14"/>
        <v>41989</v>
      </c>
      <c r="AM197" s="107">
        <f t="shared" si="14"/>
        <v>53572</v>
      </c>
      <c r="AN197" s="107">
        <f t="shared" si="14"/>
        <v>61835</v>
      </c>
      <c r="AO197" s="107">
        <f t="shared" si="14"/>
        <v>62557</v>
      </c>
      <c r="AP197" s="107">
        <f t="shared" si="14"/>
        <v>56956</v>
      </c>
    </row>
    <row r="198" spans="1:42">
      <c r="A198" s="51">
        <v>2311</v>
      </c>
      <c r="B198" s="55" t="s">
        <v>185</v>
      </c>
      <c r="C198" s="234">
        <f>_xlfn.XLOOKUP($A198,'Change in Proportion Calc'!$A$5:$A$311,'Change in Proportion Calc'!L$5:L$311,"n",0,1)</f>
        <v>6888</v>
      </c>
      <c r="D198" s="234">
        <f>_xlfn.XLOOKUP($A198,'Change in Proportion Calc'!$A$5:$A$311,'Change in Proportion Calc'!M$5:M$311,"n",0,1)</f>
        <v>6888</v>
      </c>
      <c r="E198" s="234">
        <f>_xlfn.XLOOKUP($A198,'Change in Proportion Calc'!$A$5:$A$311,'Change in Proportion Calc'!N$5:N$311,"n",0,1)</f>
        <v>6888</v>
      </c>
      <c r="F198" s="234">
        <f>_xlfn.XLOOKUP($A198,'Change in Proportion Calc'!$A$5:$A$311,'Change in Proportion Calc'!O$5:O$311,"n",0,1)</f>
        <v>6888</v>
      </c>
      <c r="G198" s="234">
        <f>_xlfn.XLOOKUP($A198,'Change in Proportion Calc'!$A$5:$A$311,'Change in Proportion Calc'!P$5:P$311,"n",0,1)</f>
        <v>5305</v>
      </c>
      <c r="H198" s="54"/>
      <c r="I198" s="69">
        <v>1399</v>
      </c>
      <c r="J198" s="69">
        <v>1399</v>
      </c>
      <c r="K198" s="69">
        <v>1399</v>
      </c>
      <c r="L198" s="69">
        <v>1399</v>
      </c>
      <c r="M198" s="69">
        <v>1304</v>
      </c>
      <c r="N198" s="54"/>
      <c r="O198" s="69">
        <v>3280</v>
      </c>
      <c r="P198" s="69">
        <v>3280</v>
      </c>
      <c r="Q198" s="69">
        <v>3280</v>
      </c>
      <c r="R198" s="69">
        <v>2854</v>
      </c>
      <c r="S198" s="69"/>
      <c r="T198" s="69">
        <v>24597</v>
      </c>
      <c r="U198" s="69">
        <v>24597</v>
      </c>
      <c r="V198" s="69">
        <v>21892</v>
      </c>
      <c r="W198" s="54"/>
      <c r="X198" s="69">
        <v>-25836</v>
      </c>
      <c r="Y198" s="69">
        <v>-25317</v>
      </c>
      <c r="Z198" s="54"/>
      <c r="AA198" s="108">
        <v>43842</v>
      </c>
      <c r="AB198" s="54"/>
      <c r="AC198" s="108">
        <f>VLOOKUP(A198,'Change in Proportion Calc'!$A$5:$H$311,8,FALSE)+SUMIF($C$5:$AB$5,2026,C198:AB198)</f>
        <v>54170</v>
      </c>
      <c r="AE198" s="107">
        <f t="shared" si="11"/>
        <v>94261</v>
      </c>
      <c r="AF198" s="107">
        <f t="shared" si="12"/>
        <v>25317</v>
      </c>
      <c r="AH198" s="107"/>
      <c r="AI198" s="108"/>
      <c r="AJ198" s="108"/>
      <c r="AK198" s="213">
        <f t="shared" si="10"/>
        <v>2311</v>
      </c>
      <c r="AL198" s="107">
        <f t="shared" si="14"/>
        <v>10847</v>
      </c>
      <c r="AM198" s="107">
        <f t="shared" si="14"/>
        <v>33459</v>
      </c>
      <c r="AN198" s="107">
        <f t="shared" si="14"/>
        <v>11141</v>
      </c>
      <c r="AO198" s="107">
        <f t="shared" si="14"/>
        <v>8192</v>
      </c>
      <c r="AP198" s="107">
        <f t="shared" si="14"/>
        <v>5305</v>
      </c>
    </row>
    <row r="199" spans="1:42">
      <c r="A199" s="53">
        <v>3433</v>
      </c>
      <c r="B199" s="54" t="s">
        <v>477</v>
      </c>
      <c r="C199" s="234">
        <f>_xlfn.XLOOKUP($A199,'Change in Proportion Calc'!$A$5:$A$311,'Change in Proportion Calc'!L$5:L$311,"n",0,1)</f>
        <v>153346</v>
      </c>
      <c r="D199" s="234">
        <f>_xlfn.XLOOKUP($A199,'Change in Proportion Calc'!$A$5:$A$311,'Change in Proportion Calc'!M$5:M$311,"n",0,1)</f>
        <v>153346</v>
      </c>
      <c r="E199" s="234">
        <f>_xlfn.XLOOKUP($A199,'Change in Proportion Calc'!$A$5:$A$311,'Change in Proportion Calc'!N$5:N$311,"n",0,1)</f>
        <v>153346</v>
      </c>
      <c r="F199" s="234">
        <f>_xlfn.XLOOKUP($A199,'Change in Proportion Calc'!$A$5:$A$311,'Change in Proportion Calc'!O$5:O$311,"n",0,1)</f>
        <v>153346</v>
      </c>
      <c r="G199" s="234">
        <f>_xlfn.XLOOKUP($A199,'Change in Proportion Calc'!$A$5:$A$311,'Change in Proportion Calc'!P$5:P$311,"n",0,1)</f>
        <v>118074</v>
      </c>
      <c r="H199" s="54"/>
      <c r="I199" s="69">
        <v>7884</v>
      </c>
      <c r="J199" s="69">
        <v>7884</v>
      </c>
      <c r="K199" s="69">
        <v>7884</v>
      </c>
      <c r="L199" s="69">
        <v>7884</v>
      </c>
      <c r="M199" s="69">
        <v>7330</v>
      </c>
      <c r="N199" s="54"/>
      <c r="O199" s="69">
        <v>158911</v>
      </c>
      <c r="P199" s="69">
        <v>158911</v>
      </c>
      <c r="Q199" s="69">
        <v>158911</v>
      </c>
      <c r="R199" s="69">
        <v>138255</v>
      </c>
      <c r="S199" s="69"/>
      <c r="T199" s="69">
        <v>74427</v>
      </c>
      <c r="U199" s="69">
        <v>74427</v>
      </c>
      <c r="V199" s="69">
        <v>66238</v>
      </c>
      <c r="W199" s="54"/>
      <c r="X199" s="69">
        <v>351332</v>
      </c>
      <c r="Y199" s="69">
        <v>344307</v>
      </c>
      <c r="Z199" s="54"/>
      <c r="AA199" s="108">
        <v>119329</v>
      </c>
      <c r="AB199" s="54"/>
      <c r="AC199" s="108">
        <f>VLOOKUP(A199,'Change in Proportion Calc'!$A$5:$H$311,8,FALSE)+SUMIF($C$5:$AB$5,2026,C199:AB199)</f>
        <v>865229</v>
      </c>
      <c r="AE199" s="107">
        <f t="shared" si="11"/>
        <v>1703489</v>
      </c>
      <c r="AF199" s="107">
        <f t="shared" si="12"/>
        <v>0</v>
      </c>
      <c r="AH199" s="107"/>
      <c r="AI199" s="108"/>
      <c r="AJ199" s="108"/>
      <c r="AK199" s="213">
        <f t="shared" si="10"/>
        <v>3433</v>
      </c>
      <c r="AL199" s="107">
        <f t="shared" si="14"/>
        <v>738875</v>
      </c>
      <c r="AM199" s="107">
        <f t="shared" si="14"/>
        <v>386379</v>
      </c>
      <c r="AN199" s="107">
        <f t="shared" si="14"/>
        <v>299485</v>
      </c>
      <c r="AO199" s="107">
        <f t="shared" si="14"/>
        <v>160676</v>
      </c>
      <c r="AP199" s="107">
        <f t="shared" si="14"/>
        <v>118074</v>
      </c>
    </row>
    <row r="200" spans="1:42">
      <c r="A200" s="51">
        <v>12039</v>
      </c>
      <c r="B200" s="55" t="s">
        <v>187</v>
      </c>
      <c r="C200" s="234">
        <f>_xlfn.XLOOKUP($A200,'Change in Proportion Calc'!$A$5:$A$311,'Change in Proportion Calc'!L$5:L$311,"n",0,1)</f>
        <v>-55885</v>
      </c>
      <c r="D200" s="234">
        <f>_xlfn.XLOOKUP($A200,'Change in Proportion Calc'!$A$5:$A$311,'Change in Proportion Calc'!M$5:M$311,"n",0,1)</f>
        <v>-55885</v>
      </c>
      <c r="E200" s="234">
        <f>_xlfn.XLOOKUP($A200,'Change in Proportion Calc'!$A$5:$A$311,'Change in Proportion Calc'!N$5:N$311,"n",0,1)</f>
        <v>-55885</v>
      </c>
      <c r="F200" s="234">
        <f>_xlfn.XLOOKUP($A200,'Change in Proportion Calc'!$A$5:$A$311,'Change in Proportion Calc'!O$5:O$311,"n",0,1)</f>
        <v>-55885</v>
      </c>
      <c r="G200" s="234">
        <f>_xlfn.XLOOKUP($A200,'Change in Proportion Calc'!$A$5:$A$311,'Change in Proportion Calc'!P$5:P$311,"n",0,1)</f>
        <v>-43031</v>
      </c>
      <c r="H200" s="54"/>
      <c r="I200" s="69">
        <v>-40798</v>
      </c>
      <c r="J200" s="69">
        <v>-40798</v>
      </c>
      <c r="K200" s="69">
        <v>-40798</v>
      </c>
      <c r="L200" s="69">
        <v>-40798</v>
      </c>
      <c r="M200" s="69">
        <v>-37944</v>
      </c>
      <c r="N200" s="54"/>
      <c r="O200" s="69">
        <v>5551</v>
      </c>
      <c r="P200" s="69">
        <v>5551</v>
      </c>
      <c r="Q200" s="69">
        <v>5551</v>
      </c>
      <c r="R200" s="69">
        <v>4828</v>
      </c>
      <c r="S200" s="69"/>
      <c r="T200" s="69">
        <v>-4528</v>
      </c>
      <c r="U200" s="69">
        <v>-4528</v>
      </c>
      <c r="V200" s="69">
        <v>-4029</v>
      </c>
      <c r="W200" s="54"/>
      <c r="X200" s="69">
        <v>-36931</v>
      </c>
      <c r="Y200" s="69">
        <v>-36194</v>
      </c>
      <c r="Z200" s="54"/>
      <c r="AA200" s="108">
        <v>-57813</v>
      </c>
      <c r="AB200" s="54"/>
      <c r="AC200" s="108">
        <f>VLOOKUP(A200,'Change in Proportion Calc'!$A$5:$H$311,8,FALSE)+SUMIF($C$5:$AB$5,2026,C200:AB200)</f>
        <v>-190404</v>
      </c>
      <c r="AE200" s="107">
        <f t="shared" si="11"/>
        <v>15930</v>
      </c>
      <c r="AF200" s="107">
        <f t="shared" si="12"/>
        <v>471660</v>
      </c>
      <c r="AH200" s="107"/>
      <c r="AI200" s="108"/>
      <c r="AJ200" s="108"/>
      <c r="AK200" s="213">
        <f t="shared" ref="AK200:AK263" si="15">+A200</f>
        <v>12039</v>
      </c>
      <c r="AL200" s="107">
        <f t="shared" si="14"/>
        <v>-131854</v>
      </c>
      <c r="AM200" s="107">
        <f t="shared" si="14"/>
        <v>-95161</v>
      </c>
      <c r="AN200" s="107">
        <f t="shared" si="14"/>
        <v>-91855</v>
      </c>
      <c r="AO200" s="107">
        <f t="shared" si="14"/>
        <v>-93829</v>
      </c>
      <c r="AP200" s="107">
        <f t="shared" si="14"/>
        <v>-43031</v>
      </c>
    </row>
    <row r="201" spans="1:42">
      <c r="A201" s="53">
        <v>12150</v>
      </c>
      <c r="B201" s="54" t="s">
        <v>188</v>
      </c>
      <c r="C201" s="234">
        <f>_xlfn.XLOOKUP($A201,'Change in Proportion Calc'!$A$5:$A$311,'Change in Proportion Calc'!L$5:L$311,"n",0,1)</f>
        <v>-4019</v>
      </c>
      <c r="D201" s="234">
        <f>_xlfn.XLOOKUP($A201,'Change in Proportion Calc'!$A$5:$A$311,'Change in Proportion Calc'!M$5:M$311,"n",0,1)</f>
        <v>-4019</v>
      </c>
      <c r="E201" s="234">
        <f>_xlfn.XLOOKUP($A201,'Change in Proportion Calc'!$A$5:$A$311,'Change in Proportion Calc'!N$5:N$311,"n",0,1)</f>
        <v>-4019</v>
      </c>
      <c r="F201" s="234">
        <f>_xlfn.XLOOKUP($A201,'Change in Proportion Calc'!$A$5:$A$311,'Change in Proportion Calc'!O$5:O$311,"n",0,1)</f>
        <v>-4019</v>
      </c>
      <c r="G201" s="234">
        <f>_xlfn.XLOOKUP($A201,'Change in Proportion Calc'!$A$5:$A$311,'Change in Proportion Calc'!P$5:P$311,"n",0,1)</f>
        <v>-3097</v>
      </c>
      <c r="H201" s="54"/>
      <c r="I201" s="69">
        <v>-13046</v>
      </c>
      <c r="J201" s="69">
        <v>-13046</v>
      </c>
      <c r="K201" s="69">
        <v>-13046</v>
      </c>
      <c r="L201" s="69">
        <v>-13046</v>
      </c>
      <c r="M201" s="69">
        <v>-12134</v>
      </c>
      <c r="N201" s="54"/>
      <c r="O201" s="69">
        <v>4408</v>
      </c>
      <c r="P201" s="69">
        <v>4408</v>
      </c>
      <c r="Q201" s="69">
        <v>4408</v>
      </c>
      <c r="R201" s="69">
        <v>3837</v>
      </c>
      <c r="S201" s="69"/>
      <c r="T201" s="69">
        <v>-5426</v>
      </c>
      <c r="U201" s="69">
        <v>-5426</v>
      </c>
      <c r="V201" s="69">
        <v>-4830</v>
      </c>
      <c r="W201" s="54"/>
      <c r="X201" s="69">
        <v>-15469</v>
      </c>
      <c r="Y201" s="69">
        <v>-15160</v>
      </c>
      <c r="Z201" s="54"/>
      <c r="AA201" s="108">
        <v>9427</v>
      </c>
      <c r="AB201" s="54"/>
      <c r="AC201" s="108">
        <f>VLOOKUP(A201,'Change in Proportion Calc'!$A$5:$H$311,8,FALSE)+SUMIF($C$5:$AB$5,2026,C201:AB201)</f>
        <v>-24125</v>
      </c>
      <c r="AE201" s="107">
        <f t="shared" ref="AE201:AE264" si="16">IF(SUM(C201:G201)&gt;0,SUM(C201:G201))+IF(SUM(J201:M201)&gt;0,SUM(J201:M201),0)+IF(SUM(U201:V201)&gt;0,SUM(U201:V201),0)+IF(SUM(Y201)&gt;0,SUM(Y201),0)+IF(SUM(P201:R201)&gt;0,SUM(P201:R201),0)</f>
        <v>12653</v>
      </c>
      <c r="AF201" s="107">
        <f t="shared" ref="AF201:AF264" si="17">+IF(SUM(C201:G201)&lt;0,-SUM(C201:G201),0)+IF(SUM(J201:M201)&lt;0,-SUM(J201:M201),0)+IF(SUM(U201:V201)&lt;0,-SUM(U201:V201),0)+IF(SUM(Y201)&lt;0,-SUM(Y201),0)+IF(SUM(P201:R201)&lt;0,-SUM(P201:R201),0)</f>
        <v>95861</v>
      </c>
      <c r="AH201" s="107"/>
      <c r="AI201" s="108"/>
      <c r="AJ201" s="108"/>
      <c r="AK201" s="213">
        <f t="shared" si="15"/>
        <v>12150</v>
      </c>
      <c r="AL201" s="107">
        <f t="shared" si="14"/>
        <v>-33243</v>
      </c>
      <c r="AM201" s="107">
        <f t="shared" si="14"/>
        <v>-17487</v>
      </c>
      <c r="AN201" s="107">
        <f t="shared" si="14"/>
        <v>-13228</v>
      </c>
      <c r="AO201" s="107">
        <f t="shared" si="14"/>
        <v>-16153</v>
      </c>
      <c r="AP201" s="107">
        <f t="shared" si="14"/>
        <v>-3097</v>
      </c>
    </row>
    <row r="202" spans="1:42">
      <c r="A202" s="51">
        <v>20060</v>
      </c>
      <c r="B202" s="55" t="s">
        <v>189</v>
      </c>
      <c r="C202" s="234">
        <f>_xlfn.XLOOKUP($A202,'Change in Proportion Calc'!$A$5:$A$311,'Change in Proportion Calc'!L$5:L$311,"n",0,1)</f>
        <v>-16957</v>
      </c>
      <c r="D202" s="234">
        <f>_xlfn.XLOOKUP($A202,'Change in Proportion Calc'!$A$5:$A$311,'Change in Proportion Calc'!M$5:M$311,"n",0,1)</f>
        <v>-16957</v>
      </c>
      <c r="E202" s="234">
        <f>_xlfn.XLOOKUP($A202,'Change in Proportion Calc'!$A$5:$A$311,'Change in Proportion Calc'!N$5:N$311,"n",0,1)</f>
        <v>-16957</v>
      </c>
      <c r="F202" s="234">
        <f>_xlfn.XLOOKUP($A202,'Change in Proportion Calc'!$A$5:$A$311,'Change in Proportion Calc'!O$5:O$311,"n",0,1)</f>
        <v>-16957</v>
      </c>
      <c r="G202" s="234">
        <f>_xlfn.XLOOKUP($A202,'Change in Proportion Calc'!$A$5:$A$311,'Change in Proportion Calc'!P$5:P$311,"n",0,1)</f>
        <v>-13057</v>
      </c>
      <c r="H202" s="54"/>
      <c r="I202" s="69">
        <v>-32171</v>
      </c>
      <c r="J202" s="69">
        <v>-32171</v>
      </c>
      <c r="K202" s="69">
        <v>-32171</v>
      </c>
      <c r="L202" s="69">
        <v>-32171</v>
      </c>
      <c r="M202" s="69">
        <v>-29918</v>
      </c>
      <c r="N202" s="54"/>
      <c r="O202" s="69">
        <v>-4489</v>
      </c>
      <c r="P202" s="69">
        <v>-4489</v>
      </c>
      <c r="Q202" s="69">
        <v>-4489</v>
      </c>
      <c r="R202" s="69">
        <v>-3903</v>
      </c>
      <c r="S202" s="69"/>
      <c r="T202" s="69">
        <v>31272</v>
      </c>
      <c r="U202" s="69">
        <v>31272</v>
      </c>
      <c r="V202" s="69">
        <v>27832</v>
      </c>
      <c r="W202" s="54"/>
      <c r="X202" s="69">
        <v>-24216</v>
      </c>
      <c r="Y202" s="69">
        <v>-23731</v>
      </c>
      <c r="Z202" s="54"/>
      <c r="AA202" s="108">
        <v>-24488</v>
      </c>
      <c r="AB202" s="54"/>
      <c r="AC202" s="108">
        <f>VLOOKUP(A202,'Change in Proportion Calc'!$A$5:$H$311,8,FALSE)+SUMIF($C$5:$AB$5,2026,C202:AB202)</f>
        <v>-71049</v>
      </c>
      <c r="AE202" s="107">
        <f t="shared" si="16"/>
        <v>59104</v>
      </c>
      <c r="AF202" s="107">
        <f t="shared" si="17"/>
        <v>243928</v>
      </c>
      <c r="AH202" s="107"/>
      <c r="AI202" s="108"/>
      <c r="AJ202" s="108"/>
      <c r="AK202" s="213">
        <f t="shared" si="15"/>
        <v>20060</v>
      </c>
      <c r="AL202" s="107">
        <f t="shared" si="14"/>
        <v>-46076</v>
      </c>
      <c r="AM202" s="107">
        <f t="shared" si="14"/>
        <v>-25785</v>
      </c>
      <c r="AN202" s="107">
        <f t="shared" si="14"/>
        <v>-53031</v>
      </c>
      <c r="AO202" s="107">
        <f t="shared" si="14"/>
        <v>-46875</v>
      </c>
      <c r="AP202" s="107">
        <f t="shared" si="14"/>
        <v>-13057</v>
      </c>
    </row>
    <row r="203" spans="1:42">
      <c r="A203" s="53">
        <v>1001</v>
      </c>
      <c r="B203" s="54" t="s">
        <v>190</v>
      </c>
      <c r="C203" s="234">
        <f>_xlfn.XLOOKUP($A203,'Change in Proportion Calc'!$A$5:$A$311,'Change in Proportion Calc'!L$5:L$311,"n",0,1)</f>
        <v>-40456</v>
      </c>
      <c r="D203" s="234">
        <f>_xlfn.XLOOKUP($A203,'Change in Proportion Calc'!$A$5:$A$311,'Change in Proportion Calc'!M$5:M$311,"n",0,1)</f>
        <v>-40456</v>
      </c>
      <c r="E203" s="234">
        <f>_xlfn.XLOOKUP($A203,'Change in Proportion Calc'!$A$5:$A$311,'Change in Proportion Calc'!N$5:N$311,"n",0,1)</f>
        <v>-40456</v>
      </c>
      <c r="F203" s="234">
        <f>_xlfn.XLOOKUP($A203,'Change in Proportion Calc'!$A$5:$A$311,'Change in Proportion Calc'!O$5:O$311,"n",0,1)</f>
        <v>-40456</v>
      </c>
      <c r="G203" s="234">
        <f>_xlfn.XLOOKUP($A203,'Change in Proportion Calc'!$A$5:$A$311,'Change in Proportion Calc'!P$5:P$311,"n",0,1)</f>
        <v>-31153</v>
      </c>
      <c r="H203" s="54"/>
      <c r="I203" s="69">
        <v>74352</v>
      </c>
      <c r="J203" s="69">
        <v>74352</v>
      </c>
      <c r="K203" s="69">
        <v>74352</v>
      </c>
      <c r="L203" s="69">
        <v>74352</v>
      </c>
      <c r="M203" s="69">
        <v>69148</v>
      </c>
      <c r="N203" s="54"/>
      <c r="O203" s="69">
        <v>133653</v>
      </c>
      <c r="P203" s="69">
        <v>133653</v>
      </c>
      <c r="Q203" s="69">
        <v>133653</v>
      </c>
      <c r="R203" s="69">
        <v>116278</v>
      </c>
      <c r="S203" s="69"/>
      <c r="T203" s="69">
        <v>160022</v>
      </c>
      <c r="U203" s="69">
        <v>160022</v>
      </c>
      <c r="V203" s="69">
        <v>142418</v>
      </c>
      <c r="W203" s="54"/>
      <c r="X203" s="69">
        <v>-411750</v>
      </c>
      <c r="Y203" s="69">
        <v>-403517</v>
      </c>
      <c r="Z203" s="54"/>
      <c r="AA203" s="108">
        <v>-42074</v>
      </c>
      <c r="AB203" s="54"/>
      <c r="AC203" s="108">
        <f>VLOOKUP(A203,'Change in Proportion Calc'!$A$5:$H$311,8,FALSE)+SUMIF($C$5:$AB$5,2026,C203:AB203)</f>
        <v>-126253</v>
      </c>
      <c r="AE203" s="107">
        <f t="shared" si="16"/>
        <v>978228</v>
      </c>
      <c r="AF203" s="107">
        <f t="shared" si="17"/>
        <v>596494</v>
      </c>
      <c r="AH203" s="107"/>
      <c r="AI203" s="108"/>
      <c r="AJ203" s="108"/>
      <c r="AK203" s="213">
        <f t="shared" si="15"/>
        <v>1001</v>
      </c>
      <c r="AL203" s="107">
        <f t="shared" si="14"/>
        <v>-75946</v>
      </c>
      <c r="AM203" s="107">
        <f t="shared" si="14"/>
        <v>309967</v>
      </c>
      <c r="AN203" s="107">
        <f t="shared" si="14"/>
        <v>150174</v>
      </c>
      <c r="AO203" s="107">
        <f t="shared" si="14"/>
        <v>28692</v>
      </c>
      <c r="AP203" s="107">
        <f t="shared" si="14"/>
        <v>-31153</v>
      </c>
    </row>
    <row r="204" spans="1:42">
      <c r="A204" s="51">
        <v>11035</v>
      </c>
      <c r="B204" s="55" t="s">
        <v>191</v>
      </c>
      <c r="C204" s="234">
        <f>_xlfn.XLOOKUP($A204,'Change in Proportion Calc'!$A$5:$A$311,'Change in Proportion Calc'!L$5:L$311,"n",0,1)</f>
        <v>-130269</v>
      </c>
      <c r="D204" s="234">
        <f>_xlfn.XLOOKUP($A204,'Change in Proportion Calc'!$A$5:$A$311,'Change in Proportion Calc'!M$5:M$311,"n",0,1)</f>
        <v>-130269</v>
      </c>
      <c r="E204" s="234">
        <f>_xlfn.XLOOKUP($A204,'Change in Proportion Calc'!$A$5:$A$311,'Change in Proportion Calc'!N$5:N$311,"n",0,1)</f>
        <v>-130269</v>
      </c>
      <c r="F204" s="234">
        <f>_xlfn.XLOOKUP($A204,'Change in Proportion Calc'!$A$5:$A$311,'Change in Proportion Calc'!O$5:O$311,"n",0,1)</f>
        <v>-130269</v>
      </c>
      <c r="G204" s="234">
        <f>_xlfn.XLOOKUP($A204,'Change in Proportion Calc'!$A$5:$A$311,'Change in Proportion Calc'!P$5:P$311,"n",0,1)</f>
        <v>-100309</v>
      </c>
      <c r="H204" s="54"/>
      <c r="I204" s="69">
        <v>-81058</v>
      </c>
      <c r="J204" s="69">
        <v>-81058</v>
      </c>
      <c r="K204" s="69">
        <v>-81058</v>
      </c>
      <c r="L204" s="69">
        <v>-81058</v>
      </c>
      <c r="M204" s="69">
        <v>-75386</v>
      </c>
      <c r="N204" s="54"/>
      <c r="O204" s="69">
        <v>187318</v>
      </c>
      <c r="P204" s="69">
        <v>187318</v>
      </c>
      <c r="Q204" s="69">
        <v>187318</v>
      </c>
      <c r="R204" s="69">
        <v>162969</v>
      </c>
      <c r="S204" s="69"/>
      <c r="T204" s="69">
        <v>-56445</v>
      </c>
      <c r="U204" s="69">
        <v>-56445</v>
      </c>
      <c r="V204" s="69">
        <v>-50238</v>
      </c>
      <c r="W204" s="54"/>
      <c r="X204" s="69">
        <v>113061</v>
      </c>
      <c r="Y204" s="69">
        <v>110801</v>
      </c>
      <c r="Z204" s="54"/>
      <c r="AA204" s="108">
        <v>133550</v>
      </c>
      <c r="AB204" s="54"/>
      <c r="AC204" s="108">
        <f>VLOOKUP(A204,'Change in Proportion Calc'!$A$5:$H$311,8,FALSE)+SUMIF($C$5:$AB$5,2026,C204:AB204)</f>
        <v>166157</v>
      </c>
      <c r="AE204" s="107">
        <f t="shared" si="16"/>
        <v>648406</v>
      </c>
      <c r="AF204" s="107">
        <f t="shared" si="17"/>
        <v>1046628</v>
      </c>
      <c r="AH204" s="107"/>
      <c r="AI204" s="108"/>
      <c r="AJ204" s="108"/>
      <c r="AK204" s="213">
        <f t="shared" si="15"/>
        <v>11035</v>
      </c>
      <c r="AL204" s="107">
        <f t="shared" si="14"/>
        <v>30347</v>
      </c>
      <c r="AM204" s="107">
        <f t="shared" si="14"/>
        <v>-74247</v>
      </c>
      <c r="AN204" s="107">
        <f t="shared" si="14"/>
        <v>-48358</v>
      </c>
      <c r="AO204" s="107">
        <f t="shared" si="14"/>
        <v>-205655</v>
      </c>
      <c r="AP204" s="107">
        <f t="shared" si="14"/>
        <v>-100309</v>
      </c>
    </row>
    <row r="205" spans="1:42">
      <c r="A205" s="53">
        <v>2320</v>
      </c>
      <c r="B205" s="54" t="s">
        <v>192</v>
      </c>
      <c r="C205" s="234">
        <f>_xlfn.XLOOKUP($A205,'Change in Proportion Calc'!$A$5:$A$311,'Change in Proportion Calc'!L$5:L$311,"n",0,1)</f>
        <v>-15363</v>
      </c>
      <c r="D205" s="234">
        <f>_xlfn.XLOOKUP($A205,'Change in Proportion Calc'!$A$5:$A$311,'Change in Proportion Calc'!M$5:M$311,"n",0,1)</f>
        <v>-15363</v>
      </c>
      <c r="E205" s="234">
        <f>_xlfn.XLOOKUP($A205,'Change in Proportion Calc'!$A$5:$A$311,'Change in Proportion Calc'!N$5:N$311,"n",0,1)</f>
        <v>-15363</v>
      </c>
      <c r="F205" s="234">
        <f>_xlfn.XLOOKUP($A205,'Change in Proportion Calc'!$A$5:$A$311,'Change in Proportion Calc'!O$5:O$311,"n",0,1)</f>
        <v>-15363</v>
      </c>
      <c r="G205" s="234">
        <f>_xlfn.XLOOKUP($A205,'Change in Proportion Calc'!$A$5:$A$311,'Change in Proportion Calc'!P$5:P$311,"n",0,1)</f>
        <v>-11831</v>
      </c>
      <c r="H205" s="54"/>
      <c r="I205" s="69">
        <v>-11083</v>
      </c>
      <c r="J205" s="69">
        <v>-11083</v>
      </c>
      <c r="K205" s="69">
        <v>-11083</v>
      </c>
      <c r="L205" s="69">
        <v>-11083</v>
      </c>
      <c r="M205" s="69">
        <v>-10309</v>
      </c>
      <c r="N205" s="54"/>
      <c r="O205" s="69">
        <v>27365</v>
      </c>
      <c r="P205" s="69">
        <v>27365</v>
      </c>
      <c r="Q205" s="69">
        <v>27365</v>
      </c>
      <c r="R205" s="69">
        <v>23809</v>
      </c>
      <c r="S205" s="69"/>
      <c r="T205" s="69">
        <v>-18322</v>
      </c>
      <c r="U205" s="69">
        <v>-18322</v>
      </c>
      <c r="V205" s="69">
        <v>-16305</v>
      </c>
      <c r="W205" s="54"/>
      <c r="X205" s="69">
        <v>3888</v>
      </c>
      <c r="Y205" s="69">
        <v>3808</v>
      </c>
      <c r="Z205" s="54"/>
      <c r="AA205" s="108">
        <v>12959</v>
      </c>
      <c r="AB205" s="54"/>
      <c r="AC205" s="108">
        <f>VLOOKUP(A205,'Change in Proportion Calc'!$A$5:$H$311,8,FALSE)+SUMIF($C$5:$AB$5,2026,C205:AB205)</f>
        <v>-556</v>
      </c>
      <c r="AE205" s="107">
        <f t="shared" si="16"/>
        <v>82347</v>
      </c>
      <c r="AF205" s="107">
        <f t="shared" si="17"/>
        <v>151468</v>
      </c>
      <c r="AH205" s="107"/>
      <c r="AI205" s="108"/>
      <c r="AJ205" s="108"/>
      <c r="AK205" s="213">
        <f t="shared" si="15"/>
        <v>2320</v>
      </c>
      <c r="AL205" s="107">
        <f t="shared" si="14"/>
        <v>-13595</v>
      </c>
      <c r="AM205" s="107">
        <f t="shared" si="14"/>
        <v>-15386</v>
      </c>
      <c r="AN205" s="107">
        <f t="shared" si="14"/>
        <v>-2637</v>
      </c>
      <c r="AO205" s="107">
        <f t="shared" si="14"/>
        <v>-25672</v>
      </c>
      <c r="AP205" s="107">
        <f t="shared" si="14"/>
        <v>-11831</v>
      </c>
    </row>
    <row r="206" spans="1:42">
      <c r="A206" s="51">
        <v>28084</v>
      </c>
      <c r="B206" s="55" t="s">
        <v>193</v>
      </c>
      <c r="C206" s="234">
        <f>_xlfn.XLOOKUP($A206,'Change in Proportion Calc'!$A$5:$A$311,'Change in Proportion Calc'!L$5:L$311,"n",0,1)</f>
        <v>-2188</v>
      </c>
      <c r="D206" s="234">
        <f>_xlfn.XLOOKUP($A206,'Change in Proportion Calc'!$A$5:$A$311,'Change in Proportion Calc'!M$5:M$311,"n",0,1)</f>
        <v>-2188</v>
      </c>
      <c r="E206" s="234">
        <f>_xlfn.XLOOKUP($A206,'Change in Proportion Calc'!$A$5:$A$311,'Change in Proportion Calc'!N$5:N$311,"n",0,1)</f>
        <v>-2188</v>
      </c>
      <c r="F206" s="234">
        <f>_xlfn.XLOOKUP($A206,'Change in Proportion Calc'!$A$5:$A$311,'Change in Proportion Calc'!O$5:O$311,"n",0,1)</f>
        <v>-2188</v>
      </c>
      <c r="G206" s="234">
        <f>_xlfn.XLOOKUP($A206,'Change in Proportion Calc'!$A$5:$A$311,'Change in Proportion Calc'!P$5:P$311,"n",0,1)</f>
        <v>-1683</v>
      </c>
      <c r="H206" s="54"/>
      <c r="I206" s="69">
        <v>11690</v>
      </c>
      <c r="J206" s="69">
        <v>11690</v>
      </c>
      <c r="K206" s="69">
        <v>11690</v>
      </c>
      <c r="L206" s="69">
        <v>11690</v>
      </c>
      <c r="M206" s="69">
        <v>10871</v>
      </c>
      <c r="N206" s="54"/>
      <c r="O206" s="69">
        <v>-6722</v>
      </c>
      <c r="P206" s="69">
        <v>-6722</v>
      </c>
      <c r="Q206" s="69">
        <v>-6722</v>
      </c>
      <c r="R206" s="69">
        <v>-5850</v>
      </c>
      <c r="S206" s="69"/>
      <c r="T206" s="69">
        <v>7845</v>
      </c>
      <c r="U206" s="69">
        <v>7845</v>
      </c>
      <c r="V206" s="69">
        <v>6983</v>
      </c>
      <c r="W206" s="54"/>
      <c r="X206" s="69">
        <v>11257</v>
      </c>
      <c r="Y206" s="69">
        <v>11034</v>
      </c>
      <c r="Z206" s="54"/>
      <c r="AA206" s="108">
        <v>6479</v>
      </c>
      <c r="AB206" s="54"/>
      <c r="AC206" s="108">
        <f>VLOOKUP(A206,'Change in Proportion Calc'!$A$5:$H$311,8,FALSE)+SUMIF($C$5:$AB$5,2026,C206:AB206)</f>
        <v>28361</v>
      </c>
      <c r="AE206" s="107">
        <f t="shared" si="16"/>
        <v>71803</v>
      </c>
      <c r="AF206" s="107">
        <f t="shared" si="17"/>
        <v>29729</v>
      </c>
      <c r="AH206" s="107"/>
      <c r="AI206" s="108"/>
      <c r="AJ206" s="108"/>
      <c r="AK206" s="213">
        <f t="shared" si="15"/>
        <v>28084</v>
      </c>
      <c r="AL206" s="107">
        <f t="shared" si="14"/>
        <v>21659</v>
      </c>
      <c r="AM206" s="107">
        <f t="shared" si="14"/>
        <v>9763</v>
      </c>
      <c r="AN206" s="107">
        <f t="shared" si="14"/>
        <v>3652</v>
      </c>
      <c r="AO206" s="107">
        <f t="shared" si="14"/>
        <v>8683</v>
      </c>
      <c r="AP206" s="107">
        <f t="shared" si="14"/>
        <v>-1683</v>
      </c>
    </row>
    <row r="207" spans="1:42">
      <c r="A207" s="53">
        <v>20125</v>
      </c>
      <c r="B207" s="54" t="s">
        <v>194</v>
      </c>
      <c r="C207" s="234">
        <f>_xlfn.XLOOKUP($A207,'Change in Proportion Calc'!$A$5:$A$311,'Change in Proportion Calc'!L$5:L$311,"n",0,1)</f>
        <v>-27113</v>
      </c>
      <c r="D207" s="234">
        <f>_xlfn.XLOOKUP($A207,'Change in Proportion Calc'!$A$5:$A$311,'Change in Proportion Calc'!M$5:M$311,"n",0,1)</f>
        <v>-27113</v>
      </c>
      <c r="E207" s="234">
        <f>_xlfn.XLOOKUP($A207,'Change in Proportion Calc'!$A$5:$A$311,'Change in Proportion Calc'!N$5:N$311,"n",0,1)</f>
        <v>-27113</v>
      </c>
      <c r="F207" s="234">
        <f>_xlfn.XLOOKUP($A207,'Change in Proportion Calc'!$A$5:$A$311,'Change in Proportion Calc'!O$5:O$311,"n",0,1)</f>
        <v>-27113</v>
      </c>
      <c r="G207" s="234">
        <f>_xlfn.XLOOKUP($A207,'Change in Proportion Calc'!$A$5:$A$311,'Change in Proportion Calc'!P$5:P$311,"n",0,1)</f>
        <v>-20878</v>
      </c>
      <c r="H207" s="54"/>
      <c r="I207" s="69">
        <v>-13991</v>
      </c>
      <c r="J207" s="69">
        <v>-13991</v>
      </c>
      <c r="K207" s="69">
        <v>-13991</v>
      </c>
      <c r="L207" s="69">
        <v>-13991</v>
      </c>
      <c r="M207" s="69">
        <v>-13009</v>
      </c>
      <c r="N207" s="54"/>
      <c r="O207" s="69">
        <v>95540</v>
      </c>
      <c r="P207" s="69">
        <v>95540</v>
      </c>
      <c r="Q207" s="69">
        <v>95540</v>
      </c>
      <c r="R207" s="69">
        <v>83118</v>
      </c>
      <c r="S207" s="69"/>
      <c r="T207" s="69">
        <v>31795</v>
      </c>
      <c r="U207" s="69">
        <v>31795</v>
      </c>
      <c r="V207" s="69">
        <v>28298</v>
      </c>
      <c r="W207" s="54"/>
      <c r="X207" s="69">
        <v>-66088</v>
      </c>
      <c r="Y207" s="69">
        <v>-64764</v>
      </c>
      <c r="Z207" s="54"/>
      <c r="AA207" s="108">
        <v>-24237</v>
      </c>
      <c r="AB207" s="54"/>
      <c r="AC207" s="108">
        <f>VLOOKUP(A207,'Change in Proportion Calc'!$A$5:$H$311,8,FALSE)+SUMIF($C$5:$AB$5,2026,C207:AB207)</f>
        <v>-4094</v>
      </c>
      <c r="AE207" s="107">
        <f t="shared" si="16"/>
        <v>334291</v>
      </c>
      <c r="AF207" s="107">
        <f t="shared" si="17"/>
        <v>249076</v>
      </c>
      <c r="AH207" s="107"/>
      <c r="AI207" s="108"/>
      <c r="AJ207" s="108"/>
      <c r="AK207" s="213">
        <f t="shared" si="15"/>
        <v>20125</v>
      </c>
      <c r="AL207" s="107">
        <f t="shared" si="14"/>
        <v>21467</v>
      </c>
      <c r="AM207" s="107">
        <f t="shared" si="14"/>
        <v>82734</v>
      </c>
      <c r="AN207" s="107">
        <f t="shared" si="14"/>
        <v>42014</v>
      </c>
      <c r="AO207" s="107">
        <f t="shared" si="14"/>
        <v>-40122</v>
      </c>
      <c r="AP207" s="107">
        <f t="shared" si="14"/>
        <v>-20878</v>
      </c>
    </row>
    <row r="208" spans="1:42">
      <c r="A208" s="53">
        <v>9029</v>
      </c>
      <c r="B208" s="54" t="s">
        <v>196</v>
      </c>
      <c r="C208" s="234">
        <f>_xlfn.XLOOKUP($A208,'Change in Proportion Calc'!$A$5:$A$311,'Change in Proportion Calc'!L$5:L$311,"n",0,1)</f>
        <v>-19166</v>
      </c>
      <c r="D208" s="234">
        <f>_xlfn.XLOOKUP($A208,'Change in Proportion Calc'!$A$5:$A$311,'Change in Proportion Calc'!M$5:M$311,"n",0,1)</f>
        <v>-19166</v>
      </c>
      <c r="E208" s="234">
        <f>_xlfn.XLOOKUP($A208,'Change in Proportion Calc'!$A$5:$A$311,'Change in Proportion Calc'!N$5:N$311,"n",0,1)</f>
        <v>-19166</v>
      </c>
      <c r="F208" s="234">
        <f>_xlfn.XLOOKUP($A208,'Change in Proportion Calc'!$A$5:$A$311,'Change in Proportion Calc'!O$5:O$311,"n",0,1)</f>
        <v>-19166</v>
      </c>
      <c r="G208" s="234">
        <f>_xlfn.XLOOKUP($A208,'Change in Proportion Calc'!$A$5:$A$311,'Change in Proportion Calc'!P$5:P$311,"n",0,1)</f>
        <v>-14755</v>
      </c>
      <c r="H208" s="54"/>
      <c r="I208" s="69">
        <v>-28715</v>
      </c>
      <c r="J208" s="69">
        <v>-28715</v>
      </c>
      <c r="K208" s="69">
        <v>-28715</v>
      </c>
      <c r="L208" s="69">
        <v>-28715</v>
      </c>
      <c r="M208" s="69">
        <v>-26707</v>
      </c>
      <c r="N208" s="54"/>
      <c r="O208" s="69">
        <v>47087</v>
      </c>
      <c r="P208" s="69">
        <v>47087</v>
      </c>
      <c r="Q208" s="69">
        <v>47087</v>
      </c>
      <c r="R208" s="69">
        <v>40968</v>
      </c>
      <c r="S208" s="69"/>
      <c r="T208" s="69">
        <v>-5556</v>
      </c>
      <c r="U208" s="69">
        <v>-5556</v>
      </c>
      <c r="V208" s="69">
        <v>-4947</v>
      </c>
      <c r="W208" s="54"/>
      <c r="X208" s="69">
        <v>3483</v>
      </c>
      <c r="Y208" s="69">
        <v>3411</v>
      </c>
      <c r="Z208" s="54"/>
      <c r="AA208" s="108">
        <v>184210</v>
      </c>
      <c r="AB208" s="54"/>
      <c r="AC208" s="108">
        <f>VLOOKUP(A208,'Change in Proportion Calc'!$A$5:$H$311,8,FALSE)+SUMIF($C$5:$AB$5,2026,C208:AB208)</f>
        <v>181343</v>
      </c>
      <c r="AE208" s="107">
        <f t="shared" si="16"/>
        <v>138553</v>
      </c>
      <c r="AF208" s="107">
        <f t="shared" si="17"/>
        <v>214774</v>
      </c>
      <c r="AH208" s="107"/>
      <c r="AI208" s="108"/>
      <c r="AJ208" s="108"/>
      <c r="AK208" s="213">
        <f t="shared" si="15"/>
        <v>9029</v>
      </c>
      <c r="AL208" s="107">
        <f t="shared" si="14"/>
        <v>-2939</v>
      </c>
      <c r="AM208" s="107">
        <f t="shared" si="14"/>
        <v>-5741</v>
      </c>
      <c r="AN208" s="107">
        <f t="shared" si="14"/>
        <v>-6913</v>
      </c>
      <c r="AO208" s="107">
        <f t="shared" si="14"/>
        <v>-45873</v>
      </c>
      <c r="AP208" s="107">
        <f t="shared" si="14"/>
        <v>-14755</v>
      </c>
    </row>
    <row r="209" spans="1:42">
      <c r="A209" s="51">
        <v>2580</v>
      </c>
      <c r="B209" s="55" t="s">
        <v>197</v>
      </c>
      <c r="C209" s="234">
        <f>_xlfn.XLOOKUP($A209,'Change in Proportion Calc'!$A$5:$A$311,'Change in Proportion Calc'!L$5:L$311,"n",0,1)</f>
        <v>1066</v>
      </c>
      <c r="D209" s="234">
        <f>_xlfn.XLOOKUP($A209,'Change in Proportion Calc'!$A$5:$A$311,'Change in Proportion Calc'!M$5:M$311,"n",0,1)</f>
        <v>1066</v>
      </c>
      <c r="E209" s="234">
        <f>_xlfn.XLOOKUP($A209,'Change in Proportion Calc'!$A$5:$A$311,'Change in Proportion Calc'!N$5:N$311,"n",0,1)</f>
        <v>1066</v>
      </c>
      <c r="F209" s="234">
        <f>_xlfn.XLOOKUP($A209,'Change in Proportion Calc'!$A$5:$A$311,'Change in Proportion Calc'!O$5:O$311,"n",0,1)</f>
        <v>1066</v>
      </c>
      <c r="G209" s="234">
        <f>_xlfn.XLOOKUP($A209,'Change in Proportion Calc'!$A$5:$A$311,'Change in Proportion Calc'!P$5:P$311,"n",0,1)</f>
        <v>820</v>
      </c>
      <c r="H209" s="54"/>
      <c r="I209" s="69">
        <v>218</v>
      </c>
      <c r="J209" s="69">
        <v>218</v>
      </c>
      <c r="K209" s="69">
        <v>218</v>
      </c>
      <c r="L209" s="69">
        <v>218</v>
      </c>
      <c r="M209" s="69">
        <v>204</v>
      </c>
      <c r="N209" s="54"/>
      <c r="O209" s="69">
        <v>-6869</v>
      </c>
      <c r="P209" s="69">
        <v>-6869</v>
      </c>
      <c r="Q209" s="69">
        <v>-6869</v>
      </c>
      <c r="R209" s="69">
        <v>-5974</v>
      </c>
      <c r="S209" s="69"/>
      <c r="T209" s="69">
        <v>-12746</v>
      </c>
      <c r="U209" s="69">
        <v>-12746</v>
      </c>
      <c r="V209" s="69">
        <v>-11342</v>
      </c>
      <c r="W209" s="54"/>
      <c r="X209" s="69">
        <v>-3483</v>
      </c>
      <c r="Y209" s="69">
        <v>-3411</v>
      </c>
      <c r="Z209" s="54"/>
      <c r="AA209" s="108">
        <v>-19271</v>
      </c>
      <c r="AB209" s="54"/>
      <c r="AC209" s="108">
        <f>VLOOKUP(A209,'Change in Proportion Calc'!$A$5:$H$311,8,FALSE)+SUMIF($C$5:$AB$5,2026,C209:AB209)</f>
        <v>-41085</v>
      </c>
      <c r="AE209" s="107">
        <f t="shared" si="16"/>
        <v>5942</v>
      </c>
      <c r="AF209" s="107">
        <f t="shared" si="17"/>
        <v>47211</v>
      </c>
      <c r="AH209" s="107"/>
      <c r="AI209" s="108"/>
      <c r="AJ209" s="108"/>
      <c r="AK209" s="213">
        <f t="shared" si="15"/>
        <v>2580</v>
      </c>
      <c r="AL209" s="107">
        <f t="shared" si="14"/>
        <v>-21742</v>
      </c>
      <c r="AM209" s="107">
        <f t="shared" si="14"/>
        <v>-16927</v>
      </c>
      <c r="AN209" s="107">
        <f t="shared" si="14"/>
        <v>-4690</v>
      </c>
      <c r="AO209" s="107">
        <f t="shared" si="14"/>
        <v>1270</v>
      </c>
      <c r="AP209" s="107">
        <f t="shared" si="14"/>
        <v>820</v>
      </c>
    </row>
    <row r="210" spans="1:42">
      <c r="A210" s="53">
        <v>20312</v>
      </c>
      <c r="B210" s="54" t="s">
        <v>198</v>
      </c>
      <c r="C210" s="234">
        <f>_xlfn.XLOOKUP($A210,'Change in Proportion Calc'!$A$5:$A$311,'Change in Proportion Calc'!L$5:L$311,"n",0,1)</f>
        <v>-100</v>
      </c>
      <c r="D210" s="234">
        <f>_xlfn.XLOOKUP($A210,'Change in Proportion Calc'!$A$5:$A$311,'Change in Proportion Calc'!M$5:M$311,"n",0,1)</f>
        <v>-100</v>
      </c>
      <c r="E210" s="234">
        <f>_xlfn.XLOOKUP($A210,'Change in Proportion Calc'!$A$5:$A$311,'Change in Proportion Calc'!N$5:N$311,"n",0,1)</f>
        <v>-100</v>
      </c>
      <c r="F210" s="234">
        <f>_xlfn.XLOOKUP($A210,'Change in Proportion Calc'!$A$5:$A$311,'Change in Proportion Calc'!O$5:O$311,"n",0,1)</f>
        <v>-100</v>
      </c>
      <c r="G210" s="234">
        <f>_xlfn.XLOOKUP($A210,'Change in Proportion Calc'!$A$5:$A$311,'Change in Proportion Calc'!P$5:P$311,"n",0,1)</f>
        <v>-76</v>
      </c>
      <c r="H210" s="54"/>
      <c r="I210" s="69">
        <v>-4956</v>
      </c>
      <c r="J210" s="69">
        <v>-4956</v>
      </c>
      <c r="K210" s="69">
        <v>-4956</v>
      </c>
      <c r="L210" s="69">
        <v>-4956</v>
      </c>
      <c r="M210" s="69">
        <v>-4611</v>
      </c>
      <c r="N210" s="54"/>
      <c r="O210" s="69">
        <v>-2936</v>
      </c>
      <c r="P210" s="69">
        <v>-2936</v>
      </c>
      <c r="Q210" s="69">
        <v>-2936</v>
      </c>
      <c r="R210" s="69">
        <v>-2555</v>
      </c>
      <c r="S210" s="69"/>
      <c r="T210" s="69">
        <v>1073</v>
      </c>
      <c r="U210" s="69">
        <v>1073</v>
      </c>
      <c r="V210" s="69">
        <v>953</v>
      </c>
      <c r="W210" s="54"/>
      <c r="X210" s="69">
        <v>9395</v>
      </c>
      <c r="Y210" s="69">
        <v>9206</v>
      </c>
      <c r="Z210" s="54"/>
      <c r="AA210" s="108">
        <v>2525</v>
      </c>
      <c r="AB210" s="54"/>
      <c r="AC210" s="108">
        <f>VLOOKUP(A210,'Change in Proportion Calc'!$A$5:$H$311,8,FALSE)+SUMIF($C$5:$AB$5,2026,C210:AB210)</f>
        <v>5001</v>
      </c>
      <c r="AE210" s="107">
        <f t="shared" si="16"/>
        <v>11232</v>
      </c>
      <c r="AF210" s="107">
        <f t="shared" si="17"/>
        <v>28382</v>
      </c>
      <c r="AH210" s="107"/>
      <c r="AI210" s="108"/>
      <c r="AJ210" s="108"/>
      <c r="AK210" s="213">
        <f t="shared" si="15"/>
        <v>20312</v>
      </c>
      <c r="AL210" s="107">
        <f t="shared" si="14"/>
        <v>2287</v>
      </c>
      <c r="AM210" s="107">
        <f t="shared" si="14"/>
        <v>-7039</v>
      </c>
      <c r="AN210" s="107">
        <f t="shared" si="14"/>
        <v>-7611</v>
      </c>
      <c r="AO210" s="107">
        <f t="shared" si="14"/>
        <v>-4711</v>
      </c>
      <c r="AP210" s="107">
        <f t="shared" si="14"/>
        <v>-76</v>
      </c>
    </row>
    <row r="211" spans="1:42">
      <c r="A211" s="53">
        <v>7445</v>
      </c>
      <c r="B211" s="54" t="s">
        <v>401</v>
      </c>
      <c r="C211" s="234">
        <f>_xlfn.XLOOKUP($A211,'Change in Proportion Calc'!$A$5:$A$311,'Change in Proportion Calc'!L$5:L$311,"n",0,1)</f>
        <v>-11381</v>
      </c>
      <c r="D211" s="234">
        <f>_xlfn.XLOOKUP($A211,'Change in Proportion Calc'!$A$5:$A$311,'Change in Proportion Calc'!M$5:M$311,"n",0,1)</f>
        <v>-11381</v>
      </c>
      <c r="E211" s="234">
        <f>_xlfn.XLOOKUP($A211,'Change in Proportion Calc'!$A$5:$A$311,'Change in Proportion Calc'!N$5:N$311,"n",0,1)</f>
        <v>-11381</v>
      </c>
      <c r="F211" s="234">
        <f>_xlfn.XLOOKUP($A211,'Change in Proportion Calc'!$A$5:$A$311,'Change in Proportion Calc'!O$5:O$311,"n",0,1)</f>
        <v>-11381</v>
      </c>
      <c r="G211" s="234">
        <f>_xlfn.XLOOKUP($A211,'Change in Proportion Calc'!$A$5:$A$311,'Change in Proportion Calc'!P$5:P$311,"n",0,1)</f>
        <v>-8762</v>
      </c>
      <c r="H211" s="54"/>
      <c r="I211" s="69">
        <v>16072</v>
      </c>
      <c r="J211" s="69">
        <v>16072</v>
      </c>
      <c r="K211" s="69">
        <v>16072</v>
      </c>
      <c r="L211" s="69">
        <v>16072</v>
      </c>
      <c r="M211" s="69">
        <v>14948</v>
      </c>
      <c r="N211" s="54"/>
      <c r="O211" s="69">
        <v>51618</v>
      </c>
      <c r="P211" s="69">
        <v>51618</v>
      </c>
      <c r="Q211" s="69">
        <v>51618</v>
      </c>
      <c r="R211" s="69">
        <v>44906</v>
      </c>
      <c r="S211" s="69"/>
      <c r="T211" s="69">
        <v>21931</v>
      </c>
      <c r="U211" s="69">
        <v>21931</v>
      </c>
      <c r="V211" s="69">
        <v>19521</v>
      </c>
      <c r="W211" s="54"/>
      <c r="X211" s="69">
        <v>39280</v>
      </c>
      <c r="Y211" s="69">
        <v>38494</v>
      </c>
      <c r="Z211" s="54"/>
      <c r="AA211" s="108">
        <v>44264</v>
      </c>
      <c r="AB211" s="54"/>
      <c r="AC211" s="108">
        <f>VLOOKUP(A211,'Change in Proportion Calc'!$A$5:$H$311,8,FALSE)+SUMIF($C$5:$AB$5,2026,C211:AB211)</f>
        <v>161784</v>
      </c>
      <c r="AE211" s="107">
        <f t="shared" si="16"/>
        <v>291252</v>
      </c>
      <c r="AF211" s="107">
        <f t="shared" si="17"/>
        <v>54286</v>
      </c>
      <c r="AH211" s="107"/>
      <c r="AI211" s="108"/>
      <c r="AJ211" s="108"/>
      <c r="AK211" s="213">
        <f t="shared" si="15"/>
        <v>7445</v>
      </c>
      <c r="AL211" s="107">
        <f t="shared" si="14"/>
        <v>116734</v>
      </c>
      <c r="AM211" s="107">
        <f t="shared" si="14"/>
        <v>75830</v>
      </c>
      <c r="AN211" s="107">
        <f t="shared" si="14"/>
        <v>49597</v>
      </c>
      <c r="AO211" s="107">
        <f t="shared" si="14"/>
        <v>3567</v>
      </c>
      <c r="AP211" s="107">
        <f t="shared" si="14"/>
        <v>-8762</v>
      </c>
    </row>
    <row r="212" spans="1:42">
      <c r="A212" s="51">
        <v>26150</v>
      </c>
      <c r="B212" s="55" t="s">
        <v>199</v>
      </c>
      <c r="C212" s="234">
        <f>_xlfn.XLOOKUP($A212,'Change in Proportion Calc'!$A$5:$A$311,'Change in Proportion Calc'!L$5:L$311,"n",0,1)</f>
        <v>44679</v>
      </c>
      <c r="D212" s="234">
        <f>_xlfn.XLOOKUP($A212,'Change in Proportion Calc'!$A$5:$A$311,'Change in Proportion Calc'!M$5:M$311,"n",0,1)</f>
        <v>44679</v>
      </c>
      <c r="E212" s="234">
        <f>_xlfn.XLOOKUP($A212,'Change in Proportion Calc'!$A$5:$A$311,'Change in Proportion Calc'!N$5:N$311,"n",0,1)</f>
        <v>44679</v>
      </c>
      <c r="F212" s="234">
        <f>_xlfn.XLOOKUP($A212,'Change in Proportion Calc'!$A$5:$A$311,'Change in Proportion Calc'!O$5:O$311,"n",0,1)</f>
        <v>44679</v>
      </c>
      <c r="G212" s="234">
        <f>_xlfn.XLOOKUP($A212,'Change in Proportion Calc'!$A$5:$A$311,'Change in Proportion Calc'!P$5:P$311,"n",0,1)</f>
        <v>34404</v>
      </c>
      <c r="H212" s="54"/>
      <c r="I212" s="69">
        <v>-25286</v>
      </c>
      <c r="J212" s="69">
        <v>-25286</v>
      </c>
      <c r="K212" s="69">
        <v>-25286</v>
      </c>
      <c r="L212" s="69">
        <v>-25286</v>
      </c>
      <c r="M212" s="69">
        <v>-23516</v>
      </c>
      <c r="N212" s="54"/>
      <c r="O212" s="69">
        <v>9223</v>
      </c>
      <c r="P212" s="69">
        <v>9223</v>
      </c>
      <c r="Q212" s="69">
        <v>9223</v>
      </c>
      <c r="R212" s="69">
        <v>8026</v>
      </c>
      <c r="S212" s="69"/>
      <c r="T212" s="69">
        <v>35079</v>
      </c>
      <c r="U212" s="69">
        <v>35079</v>
      </c>
      <c r="V212" s="69">
        <v>31219</v>
      </c>
      <c r="W212" s="54"/>
      <c r="X212" s="69">
        <v>-15388</v>
      </c>
      <c r="Y212" s="69">
        <v>-15080</v>
      </c>
      <c r="Z212" s="54"/>
      <c r="AA212" s="108">
        <v>1095</v>
      </c>
      <c r="AB212" s="54"/>
      <c r="AC212" s="108">
        <f>VLOOKUP(A212,'Change in Proportion Calc'!$A$5:$H$311,8,FALSE)+SUMIF($C$5:$AB$5,2026,C212:AB212)</f>
        <v>49402</v>
      </c>
      <c r="AE212" s="107">
        <f t="shared" si="16"/>
        <v>305890</v>
      </c>
      <c r="AF212" s="107">
        <f t="shared" si="17"/>
        <v>114454</v>
      </c>
      <c r="AH212" s="107"/>
      <c r="AI212" s="108"/>
      <c r="AJ212" s="108"/>
      <c r="AK212" s="213">
        <f t="shared" si="15"/>
        <v>26150</v>
      </c>
      <c r="AL212" s="107">
        <f t="shared" si="14"/>
        <v>48615</v>
      </c>
      <c r="AM212" s="107">
        <f t="shared" si="14"/>
        <v>59835</v>
      </c>
      <c r="AN212" s="107">
        <f t="shared" si="14"/>
        <v>27419</v>
      </c>
      <c r="AO212" s="107">
        <f t="shared" si="14"/>
        <v>21163</v>
      </c>
      <c r="AP212" s="107">
        <f t="shared" si="14"/>
        <v>34404</v>
      </c>
    </row>
    <row r="213" spans="1:42">
      <c r="A213" s="53">
        <v>5016</v>
      </c>
      <c r="B213" s="54" t="s">
        <v>200</v>
      </c>
      <c r="C213" s="234">
        <f>_xlfn.XLOOKUP($A213,'Change in Proportion Calc'!$A$5:$A$311,'Change in Proportion Calc'!L$5:L$311,"n",0,1)</f>
        <v>-3029</v>
      </c>
      <c r="D213" s="234">
        <f>_xlfn.XLOOKUP($A213,'Change in Proportion Calc'!$A$5:$A$311,'Change in Proportion Calc'!M$5:M$311,"n",0,1)</f>
        <v>-3029</v>
      </c>
      <c r="E213" s="234">
        <f>_xlfn.XLOOKUP($A213,'Change in Proportion Calc'!$A$5:$A$311,'Change in Proportion Calc'!N$5:N$311,"n",0,1)</f>
        <v>-3029</v>
      </c>
      <c r="F213" s="234">
        <f>_xlfn.XLOOKUP($A213,'Change in Proportion Calc'!$A$5:$A$311,'Change in Proportion Calc'!O$5:O$311,"n",0,1)</f>
        <v>-3029</v>
      </c>
      <c r="G213" s="234">
        <f>_xlfn.XLOOKUP($A213,'Change in Proportion Calc'!$A$5:$A$311,'Change in Proportion Calc'!P$5:P$311,"n",0,1)</f>
        <v>-2331</v>
      </c>
      <c r="H213" s="54"/>
      <c r="I213" s="69">
        <v>10808</v>
      </c>
      <c r="J213" s="69">
        <v>10808</v>
      </c>
      <c r="K213" s="69">
        <v>10808</v>
      </c>
      <c r="L213" s="69">
        <v>10808</v>
      </c>
      <c r="M213" s="69">
        <v>10054</v>
      </c>
      <c r="N213" s="54"/>
      <c r="O213" s="69">
        <v>4764</v>
      </c>
      <c r="P213" s="69">
        <v>4764</v>
      </c>
      <c r="Q213" s="69">
        <v>4764</v>
      </c>
      <c r="R213" s="69">
        <v>4143</v>
      </c>
      <c r="S213" s="69"/>
      <c r="T213" s="69">
        <v>-94</v>
      </c>
      <c r="U213" s="69">
        <v>-94</v>
      </c>
      <c r="V213" s="69">
        <v>-85</v>
      </c>
      <c r="W213" s="54"/>
      <c r="X213" s="69">
        <v>162</v>
      </c>
      <c r="Y213" s="69">
        <v>159</v>
      </c>
      <c r="Z213" s="54"/>
      <c r="AA213" s="108">
        <v>-13042</v>
      </c>
      <c r="AB213" s="54"/>
      <c r="AC213" s="108">
        <f>VLOOKUP(A213,'Change in Proportion Calc'!$A$5:$H$311,8,FALSE)+SUMIF($C$5:$AB$5,2026,C213:AB213)</f>
        <v>-431</v>
      </c>
      <c r="AE213" s="107">
        <f t="shared" si="16"/>
        <v>56308</v>
      </c>
      <c r="AF213" s="107">
        <f t="shared" si="17"/>
        <v>14626</v>
      </c>
      <c r="AH213" s="107"/>
      <c r="AI213" s="108"/>
      <c r="AJ213" s="108"/>
      <c r="AK213" s="213">
        <f t="shared" si="15"/>
        <v>5016</v>
      </c>
      <c r="AL213" s="107">
        <f t="shared" si="14"/>
        <v>12608</v>
      </c>
      <c r="AM213" s="107">
        <f t="shared" si="14"/>
        <v>12458</v>
      </c>
      <c r="AN213" s="107">
        <f t="shared" si="14"/>
        <v>11922</v>
      </c>
      <c r="AO213" s="107">
        <f t="shared" si="14"/>
        <v>7025</v>
      </c>
      <c r="AP213" s="107">
        <f t="shared" si="14"/>
        <v>-2331</v>
      </c>
    </row>
    <row r="214" spans="1:42">
      <c r="A214" s="51">
        <v>6150</v>
      </c>
      <c r="B214" s="55" t="s">
        <v>201</v>
      </c>
      <c r="C214" s="234">
        <f>_xlfn.XLOOKUP($A214,'Change in Proportion Calc'!$A$5:$A$311,'Change in Proportion Calc'!L$5:L$311,"n",0,1)</f>
        <v>-4329</v>
      </c>
      <c r="D214" s="234">
        <f>_xlfn.XLOOKUP($A214,'Change in Proportion Calc'!$A$5:$A$311,'Change in Proportion Calc'!M$5:M$311,"n",0,1)</f>
        <v>-4329</v>
      </c>
      <c r="E214" s="234">
        <f>_xlfn.XLOOKUP($A214,'Change in Proportion Calc'!$A$5:$A$311,'Change in Proportion Calc'!N$5:N$311,"n",0,1)</f>
        <v>-4329</v>
      </c>
      <c r="F214" s="234">
        <f>_xlfn.XLOOKUP($A214,'Change in Proportion Calc'!$A$5:$A$311,'Change in Proportion Calc'!O$5:O$311,"n",0,1)</f>
        <v>-4329</v>
      </c>
      <c r="G214" s="234">
        <f>_xlfn.XLOOKUP($A214,'Change in Proportion Calc'!$A$5:$A$311,'Change in Proportion Calc'!P$5:P$311,"n",0,1)</f>
        <v>-3333</v>
      </c>
      <c r="H214" s="54"/>
      <c r="I214" s="69">
        <v>-19987</v>
      </c>
      <c r="J214" s="69">
        <v>-19987</v>
      </c>
      <c r="K214" s="69">
        <v>-19987</v>
      </c>
      <c r="L214" s="69">
        <v>-19987</v>
      </c>
      <c r="M214" s="69">
        <v>-18589</v>
      </c>
      <c r="N214" s="54"/>
      <c r="O214" s="69">
        <v>28358</v>
      </c>
      <c r="P214" s="69">
        <v>28358</v>
      </c>
      <c r="Q214" s="69">
        <v>28358</v>
      </c>
      <c r="R214" s="69">
        <v>24673</v>
      </c>
      <c r="S214" s="69"/>
      <c r="T214" s="69">
        <v>7749</v>
      </c>
      <c r="U214" s="69">
        <v>7749</v>
      </c>
      <c r="V214" s="69">
        <v>6896</v>
      </c>
      <c r="W214" s="54"/>
      <c r="X214" s="69">
        <v>-8099</v>
      </c>
      <c r="Y214" s="69">
        <v>-7937</v>
      </c>
      <c r="Z214" s="54"/>
      <c r="AA214" s="108">
        <v>15483</v>
      </c>
      <c r="AB214" s="54"/>
      <c r="AC214" s="108">
        <f>VLOOKUP(A214,'Change in Proportion Calc'!$A$5:$H$311,8,FALSE)+SUMIF($C$5:$AB$5,2026,C214:AB214)</f>
        <v>19175</v>
      </c>
      <c r="AE214" s="107">
        <f t="shared" si="16"/>
        <v>96034</v>
      </c>
      <c r="AF214" s="107">
        <f t="shared" si="17"/>
        <v>107136</v>
      </c>
      <c r="AH214" s="107"/>
      <c r="AI214" s="108"/>
      <c r="AJ214" s="108"/>
      <c r="AK214" s="213">
        <f t="shared" si="15"/>
        <v>6150</v>
      </c>
      <c r="AL214" s="107">
        <f t="shared" si="14"/>
        <v>3854</v>
      </c>
      <c r="AM214" s="107">
        <f t="shared" si="14"/>
        <v>10938</v>
      </c>
      <c r="AN214" s="107">
        <f t="shared" si="14"/>
        <v>357</v>
      </c>
      <c r="AO214" s="107">
        <f t="shared" si="14"/>
        <v>-22918</v>
      </c>
      <c r="AP214" s="107">
        <f t="shared" si="14"/>
        <v>-3333</v>
      </c>
    </row>
    <row r="215" spans="1:42">
      <c r="A215" s="53">
        <v>4480</v>
      </c>
      <c r="B215" s="54" t="s">
        <v>202</v>
      </c>
      <c r="C215" s="234">
        <f>_xlfn.XLOOKUP($A215,'Change in Proportion Calc'!$A$5:$A$311,'Change in Proportion Calc'!L$5:L$311,"n",0,1)</f>
        <v>1778</v>
      </c>
      <c r="D215" s="234">
        <f>_xlfn.XLOOKUP($A215,'Change in Proportion Calc'!$A$5:$A$311,'Change in Proportion Calc'!M$5:M$311,"n",0,1)</f>
        <v>1778</v>
      </c>
      <c r="E215" s="234">
        <f>_xlfn.XLOOKUP($A215,'Change in Proportion Calc'!$A$5:$A$311,'Change in Proportion Calc'!N$5:N$311,"n",0,1)</f>
        <v>1778</v>
      </c>
      <c r="F215" s="234">
        <f>_xlfn.XLOOKUP($A215,'Change in Proportion Calc'!$A$5:$A$311,'Change in Proportion Calc'!O$5:O$311,"n",0,1)</f>
        <v>1778</v>
      </c>
      <c r="G215" s="234">
        <f>_xlfn.XLOOKUP($A215,'Change in Proportion Calc'!$A$5:$A$311,'Change in Proportion Calc'!P$5:P$311,"n",0,1)</f>
        <v>1369</v>
      </c>
      <c r="H215" s="54"/>
      <c r="I215" s="69">
        <v>812</v>
      </c>
      <c r="J215" s="69">
        <v>812</v>
      </c>
      <c r="K215" s="69">
        <v>812</v>
      </c>
      <c r="L215" s="69">
        <v>812</v>
      </c>
      <c r="M215" s="69">
        <v>757</v>
      </c>
      <c r="N215" s="54"/>
      <c r="O215" s="69">
        <v>10662</v>
      </c>
      <c r="P215" s="69">
        <v>10662</v>
      </c>
      <c r="Q215" s="69">
        <v>10662</v>
      </c>
      <c r="R215" s="69">
        <v>9278</v>
      </c>
      <c r="S215" s="69"/>
      <c r="T215" s="69">
        <v>-14032</v>
      </c>
      <c r="U215" s="69">
        <v>-14032</v>
      </c>
      <c r="V215" s="69">
        <v>-12487</v>
      </c>
      <c r="W215" s="54"/>
      <c r="X215" s="69">
        <v>-16360</v>
      </c>
      <c r="Y215" s="69">
        <v>-16032</v>
      </c>
      <c r="Z215" s="54"/>
      <c r="AA215" s="108">
        <v>-9594</v>
      </c>
      <c r="AB215" s="54"/>
      <c r="AC215" s="108">
        <f>VLOOKUP(A215,'Change in Proportion Calc'!$A$5:$H$311,8,FALSE)+SUMIF($C$5:$AB$5,2026,C215:AB215)</f>
        <v>-26734</v>
      </c>
      <c r="AE215" s="107">
        <f t="shared" si="16"/>
        <v>42276</v>
      </c>
      <c r="AF215" s="107">
        <f t="shared" si="17"/>
        <v>42551</v>
      </c>
      <c r="AH215" s="107"/>
      <c r="AI215" s="108"/>
      <c r="AJ215" s="108"/>
      <c r="AK215" s="213">
        <f t="shared" si="15"/>
        <v>4480</v>
      </c>
      <c r="AL215" s="107">
        <f t="shared" si="14"/>
        <v>-16812</v>
      </c>
      <c r="AM215" s="107">
        <f t="shared" si="14"/>
        <v>765</v>
      </c>
      <c r="AN215" s="107">
        <f t="shared" si="14"/>
        <v>11868</v>
      </c>
      <c r="AO215" s="107">
        <f t="shared" si="14"/>
        <v>2535</v>
      </c>
      <c r="AP215" s="107">
        <f t="shared" si="14"/>
        <v>1369</v>
      </c>
    </row>
    <row r="216" spans="1:42">
      <c r="A216" s="51">
        <v>28085</v>
      </c>
      <c r="B216" s="55" t="s">
        <v>203</v>
      </c>
      <c r="C216" s="234">
        <f>_xlfn.XLOOKUP($A216,'Change in Proportion Calc'!$A$5:$A$311,'Change in Proportion Calc'!L$5:L$311,"n",0,1)</f>
        <v>-1799</v>
      </c>
      <c r="D216" s="234">
        <f>_xlfn.XLOOKUP($A216,'Change in Proportion Calc'!$A$5:$A$311,'Change in Proportion Calc'!M$5:M$311,"n",0,1)</f>
        <v>-1799</v>
      </c>
      <c r="E216" s="234">
        <f>_xlfn.XLOOKUP($A216,'Change in Proportion Calc'!$A$5:$A$311,'Change in Proportion Calc'!N$5:N$311,"n",0,1)</f>
        <v>-1799</v>
      </c>
      <c r="F216" s="234">
        <f>_xlfn.XLOOKUP($A216,'Change in Proportion Calc'!$A$5:$A$311,'Change in Proportion Calc'!O$5:O$311,"n",0,1)</f>
        <v>-1799</v>
      </c>
      <c r="G216" s="234">
        <f>_xlfn.XLOOKUP($A216,'Change in Proportion Calc'!$A$5:$A$311,'Change in Proportion Calc'!P$5:P$311,"n",0,1)</f>
        <v>-1384</v>
      </c>
      <c r="H216" s="54"/>
      <c r="I216" s="69">
        <v>-7685</v>
      </c>
      <c r="J216" s="69">
        <v>-7685</v>
      </c>
      <c r="K216" s="69">
        <v>-7685</v>
      </c>
      <c r="L216" s="69">
        <v>-7685</v>
      </c>
      <c r="M216" s="69">
        <v>-7145</v>
      </c>
      <c r="N216" s="54"/>
      <c r="O216" s="69">
        <v>9398</v>
      </c>
      <c r="P216" s="69">
        <v>9398</v>
      </c>
      <c r="Q216" s="69">
        <v>9398</v>
      </c>
      <c r="R216" s="69">
        <v>8174</v>
      </c>
      <c r="S216" s="69"/>
      <c r="T216" s="69">
        <v>1167</v>
      </c>
      <c r="U216" s="69">
        <v>1167</v>
      </c>
      <c r="V216" s="69">
        <v>1040</v>
      </c>
      <c r="W216" s="54"/>
      <c r="X216" s="69">
        <v>-16846</v>
      </c>
      <c r="Y216" s="69">
        <v>-16508</v>
      </c>
      <c r="Z216" s="54"/>
      <c r="AA216" s="108">
        <v>-1095</v>
      </c>
      <c r="AB216" s="54"/>
      <c r="AC216" s="108">
        <f>VLOOKUP(A216,'Change in Proportion Calc'!$A$5:$H$311,8,FALSE)+SUMIF($C$5:$AB$5,2026,C216:AB216)</f>
        <v>-16860</v>
      </c>
      <c r="AE216" s="107">
        <f t="shared" si="16"/>
        <v>29177</v>
      </c>
      <c r="AF216" s="107">
        <f t="shared" si="17"/>
        <v>55288</v>
      </c>
      <c r="AH216" s="107"/>
      <c r="AI216" s="108"/>
      <c r="AJ216" s="108"/>
      <c r="AK216" s="213">
        <f t="shared" si="15"/>
        <v>28085</v>
      </c>
      <c r="AL216" s="107">
        <f t="shared" si="14"/>
        <v>-15427</v>
      </c>
      <c r="AM216" s="107">
        <f t="shared" si="14"/>
        <v>954</v>
      </c>
      <c r="AN216" s="107">
        <f t="shared" si="14"/>
        <v>-1310</v>
      </c>
      <c r="AO216" s="107">
        <f t="shared" si="14"/>
        <v>-8944</v>
      </c>
      <c r="AP216" s="107">
        <f t="shared" si="14"/>
        <v>-1384</v>
      </c>
    </row>
    <row r="217" spans="1:42">
      <c r="A217" s="53">
        <v>3240</v>
      </c>
      <c r="B217" s="54" t="s">
        <v>204</v>
      </c>
      <c r="C217" s="234">
        <f>_xlfn.XLOOKUP($A217,'Change in Proportion Calc'!$A$5:$A$311,'Change in Proportion Calc'!L$5:L$311,"n",0,1)</f>
        <v>61404</v>
      </c>
      <c r="D217" s="234">
        <f>_xlfn.XLOOKUP($A217,'Change in Proportion Calc'!$A$5:$A$311,'Change in Proportion Calc'!M$5:M$311,"n",0,1)</f>
        <v>61404</v>
      </c>
      <c r="E217" s="234">
        <f>_xlfn.XLOOKUP($A217,'Change in Proportion Calc'!$A$5:$A$311,'Change in Proportion Calc'!N$5:N$311,"n",0,1)</f>
        <v>61404</v>
      </c>
      <c r="F217" s="234">
        <f>_xlfn.XLOOKUP($A217,'Change in Proportion Calc'!$A$5:$A$311,'Change in Proportion Calc'!O$5:O$311,"n",0,1)</f>
        <v>61404</v>
      </c>
      <c r="G217" s="234">
        <f>_xlfn.XLOOKUP($A217,'Change in Proportion Calc'!$A$5:$A$311,'Change in Proportion Calc'!P$5:P$311,"n",0,1)</f>
        <v>47282</v>
      </c>
      <c r="H217" s="54"/>
      <c r="I217" s="69">
        <v>104884</v>
      </c>
      <c r="J217" s="69">
        <v>104884</v>
      </c>
      <c r="K217" s="69">
        <v>104884</v>
      </c>
      <c r="L217" s="69">
        <v>104884</v>
      </c>
      <c r="M217" s="69">
        <v>97543</v>
      </c>
      <c r="N217" s="54"/>
      <c r="O217" s="69">
        <v>-171915</v>
      </c>
      <c r="P217" s="69">
        <v>-171915</v>
      </c>
      <c r="Q217" s="69">
        <v>-171915</v>
      </c>
      <c r="R217" s="69">
        <v>-149568</v>
      </c>
      <c r="S217" s="69"/>
      <c r="T217" s="69">
        <v>-123642</v>
      </c>
      <c r="U217" s="69">
        <v>-123642</v>
      </c>
      <c r="V217" s="69">
        <v>-110043</v>
      </c>
      <c r="W217" s="54"/>
      <c r="X217" s="69">
        <v>56936</v>
      </c>
      <c r="Y217" s="69">
        <v>55795</v>
      </c>
      <c r="Z217" s="54"/>
      <c r="AA217" s="108">
        <v>-43253</v>
      </c>
      <c r="AB217" s="54"/>
      <c r="AC217" s="108">
        <f>VLOOKUP(A217,'Change in Proportion Calc'!$A$5:$H$311,8,FALSE)+SUMIF($C$5:$AB$5,2026,C217:AB217)</f>
        <v>-115586</v>
      </c>
      <c r="AE217" s="107">
        <f t="shared" si="16"/>
        <v>760888</v>
      </c>
      <c r="AF217" s="107">
        <f t="shared" si="17"/>
        <v>727083</v>
      </c>
      <c r="AH217" s="107"/>
      <c r="AI217" s="108"/>
      <c r="AJ217" s="108"/>
      <c r="AK217" s="213">
        <f t="shared" si="15"/>
        <v>3240</v>
      </c>
      <c r="AL217" s="107">
        <f t="shared" si="14"/>
        <v>-73474</v>
      </c>
      <c r="AM217" s="107">
        <f t="shared" si="14"/>
        <v>-115670</v>
      </c>
      <c r="AN217" s="107">
        <f t="shared" si="14"/>
        <v>16720</v>
      </c>
      <c r="AO217" s="107">
        <f t="shared" si="14"/>
        <v>158947</v>
      </c>
      <c r="AP217" s="107">
        <f t="shared" si="14"/>
        <v>47282</v>
      </c>
    </row>
    <row r="218" spans="1:42">
      <c r="A218" s="51">
        <v>12326</v>
      </c>
      <c r="B218" s="55" t="s">
        <v>205</v>
      </c>
      <c r="C218" s="234">
        <f>_xlfn.XLOOKUP($A218,'Change in Proportion Calc'!$A$5:$A$311,'Change in Proportion Calc'!L$5:L$311,"n",0,1)</f>
        <v>-16138</v>
      </c>
      <c r="D218" s="234">
        <f>_xlfn.XLOOKUP($A218,'Change in Proportion Calc'!$A$5:$A$311,'Change in Proportion Calc'!M$5:M$311,"n",0,1)</f>
        <v>-16138</v>
      </c>
      <c r="E218" s="234">
        <f>_xlfn.XLOOKUP($A218,'Change in Proportion Calc'!$A$5:$A$311,'Change in Proportion Calc'!N$5:N$311,"n",0,1)</f>
        <v>-16138</v>
      </c>
      <c r="F218" s="234">
        <f>_xlfn.XLOOKUP($A218,'Change in Proportion Calc'!$A$5:$A$311,'Change in Proportion Calc'!O$5:O$311,"n",0,1)</f>
        <v>-16138</v>
      </c>
      <c r="G218" s="234">
        <f>_xlfn.XLOOKUP($A218,'Change in Proportion Calc'!$A$5:$A$311,'Change in Proportion Calc'!P$5:P$311,"n",0,1)</f>
        <v>-12429</v>
      </c>
      <c r="H218" s="54"/>
      <c r="I218" s="69">
        <v>8646</v>
      </c>
      <c r="J218" s="69">
        <v>8646</v>
      </c>
      <c r="K218" s="69">
        <v>8646</v>
      </c>
      <c r="L218" s="69">
        <v>8646</v>
      </c>
      <c r="M218" s="69">
        <v>8038</v>
      </c>
      <c r="N218" s="54"/>
      <c r="O218" s="69">
        <v>19907</v>
      </c>
      <c r="P218" s="69">
        <v>19907</v>
      </c>
      <c r="Q218" s="69">
        <v>19907</v>
      </c>
      <c r="R218" s="69">
        <v>17321</v>
      </c>
      <c r="S218" s="69"/>
      <c r="T218" s="69">
        <v>5085</v>
      </c>
      <c r="U218" s="69">
        <v>5085</v>
      </c>
      <c r="V218" s="69">
        <v>4525</v>
      </c>
      <c r="W218" s="54"/>
      <c r="X218" s="69">
        <v>-6074</v>
      </c>
      <c r="Y218" s="69">
        <v>-5954</v>
      </c>
      <c r="Z218" s="54"/>
      <c r="AA218" s="108">
        <v>15906</v>
      </c>
      <c r="AB218" s="54"/>
      <c r="AC218" s="108">
        <f>VLOOKUP(A218,'Change in Proportion Calc'!$A$5:$H$311,8,FALSE)+SUMIF($C$5:$AB$5,2026,C218:AB218)</f>
        <v>27332</v>
      </c>
      <c r="AE218" s="107">
        <f t="shared" si="16"/>
        <v>100721</v>
      </c>
      <c r="AF218" s="107">
        <f t="shared" si="17"/>
        <v>82935</v>
      </c>
      <c r="AH218" s="107"/>
      <c r="AI218" s="108"/>
      <c r="AJ218" s="108"/>
      <c r="AK218" s="213">
        <f t="shared" si="15"/>
        <v>12326</v>
      </c>
      <c r="AL218" s="107">
        <f t="shared" si="14"/>
        <v>11546</v>
      </c>
      <c r="AM218" s="107">
        <f t="shared" si="14"/>
        <v>16940</v>
      </c>
      <c r="AN218" s="107">
        <f t="shared" si="14"/>
        <v>9829</v>
      </c>
      <c r="AO218" s="107">
        <f t="shared" si="14"/>
        <v>-8100</v>
      </c>
      <c r="AP218" s="107">
        <f t="shared" si="14"/>
        <v>-12429</v>
      </c>
    </row>
    <row r="219" spans="1:42">
      <c r="A219" s="51">
        <v>2445</v>
      </c>
      <c r="B219" s="55" t="s">
        <v>427</v>
      </c>
      <c r="C219" s="234">
        <f>_xlfn.XLOOKUP($A219,'Change in Proportion Calc'!$A$5:$A$311,'Change in Proportion Calc'!L$5:L$311,"n",0,1)</f>
        <v>23690</v>
      </c>
      <c r="D219" s="234">
        <f>_xlfn.XLOOKUP($A219,'Change in Proportion Calc'!$A$5:$A$311,'Change in Proportion Calc'!M$5:M$311,"n",0,1)</f>
        <v>23690</v>
      </c>
      <c r="E219" s="234">
        <f>_xlfn.XLOOKUP($A219,'Change in Proportion Calc'!$A$5:$A$311,'Change in Proportion Calc'!N$5:N$311,"n",0,1)</f>
        <v>23690</v>
      </c>
      <c r="F219" s="234">
        <f>_xlfn.XLOOKUP($A219,'Change in Proportion Calc'!$A$5:$A$311,'Change in Proportion Calc'!O$5:O$311,"n",0,1)</f>
        <v>23690</v>
      </c>
      <c r="G219" s="234">
        <f>_xlfn.XLOOKUP($A219,'Change in Proportion Calc'!$A$5:$A$311,'Change in Proportion Calc'!P$5:P$311,"n",0,1)</f>
        <v>18240</v>
      </c>
      <c r="H219" s="54"/>
      <c r="I219" s="69">
        <v>30978</v>
      </c>
      <c r="J219" s="69">
        <v>30978</v>
      </c>
      <c r="K219" s="69">
        <v>30978</v>
      </c>
      <c r="L219" s="69">
        <v>30978</v>
      </c>
      <c r="M219" s="69">
        <v>28807</v>
      </c>
      <c r="N219" s="54"/>
      <c r="O219" s="69">
        <v>39790</v>
      </c>
      <c r="P219" s="69">
        <v>39790</v>
      </c>
      <c r="Q219" s="69">
        <v>39790</v>
      </c>
      <c r="R219" s="69">
        <v>34615</v>
      </c>
      <c r="S219" s="69"/>
      <c r="T219" s="69">
        <v>24664</v>
      </c>
      <c r="U219" s="69">
        <v>24664</v>
      </c>
      <c r="V219" s="69">
        <v>21952</v>
      </c>
      <c r="W219" s="54"/>
      <c r="X219" s="69">
        <v>0</v>
      </c>
      <c r="Y219" s="69">
        <v>0</v>
      </c>
      <c r="Z219" s="54"/>
      <c r="AA219" s="108">
        <v>0</v>
      </c>
      <c r="AB219" s="54"/>
      <c r="AC219" s="108">
        <f>VLOOKUP(A219,'Change in Proportion Calc'!$A$5:$H$311,8,FALSE)+SUMIF($C$5:$AB$5,2026,C219:AB219)</f>
        <v>119122</v>
      </c>
      <c r="AE219" s="107">
        <f t="shared" si="16"/>
        <v>395552</v>
      </c>
      <c r="AF219" s="107">
        <f t="shared" si="17"/>
        <v>0</v>
      </c>
      <c r="AH219" s="107"/>
      <c r="AI219" s="108"/>
      <c r="AJ219" s="108"/>
      <c r="AK219" s="213">
        <f t="shared" si="15"/>
        <v>2445</v>
      </c>
      <c r="AL219" s="107">
        <f t="shared" ref="AL219:AP250" si="18">+SUMIF($C$5:$AB$5,AL$5,$C219:$AB219)</f>
        <v>119122</v>
      </c>
      <c r="AM219" s="107">
        <f t="shared" si="18"/>
        <v>116410</v>
      </c>
      <c r="AN219" s="107">
        <f t="shared" si="18"/>
        <v>89283</v>
      </c>
      <c r="AO219" s="107">
        <f t="shared" si="18"/>
        <v>52497</v>
      </c>
      <c r="AP219" s="107">
        <f t="shared" si="18"/>
        <v>18240</v>
      </c>
    </row>
    <row r="220" spans="1:42">
      <c r="A220" s="53">
        <v>29123</v>
      </c>
      <c r="B220" s="54" t="s">
        <v>206</v>
      </c>
      <c r="C220" s="234">
        <f>_xlfn.XLOOKUP($A220,'Change in Proportion Calc'!$A$5:$A$311,'Change in Proportion Calc'!L$5:L$311,"n",0,1)</f>
        <v>-139657</v>
      </c>
      <c r="D220" s="234">
        <f>_xlfn.XLOOKUP($A220,'Change in Proportion Calc'!$A$5:$A$311,'Change in Proportion Calc'!M$5:M$311,"n",0,1)</f>
        <v>-139657</v>
      </c>
      <c r="E220" s="234">
        <f>_xlfn.XLOOKUP($A220,'Change in Proportion Calc'!$A$5:$A$311,'Change in Proportion Calc'!N$5:N$311,"n",0,1)</f>
        <v>-139657</v>
      </c>
      <c r="F220" s="234">
        <f>_xlfn.XLOOKUP($A220,'Change in Proportion Calc'!$A$5:$A$311,'Change in Proportion Calc'!O$5:O$311,"n",0,1)</f>
        <v>-139657</v>
      </c>
      <c r="G220" s="234">
        <f>_xlfn.XLOOKUP($A220,'Change in Proportion Calc'!$A$5:$A$311,'Change in Proportion Calc'!P$5:P$311,"n",0,1)</f>
        <v>-107534</v>
      </c>
      <c r="H220" s="54"/>
      <c r="I220" s="69">
        <v>-390964</v>
      </c>
      <c r="J220" s="69">
        <v>-390964</v>
      </c>
      <c r="K220" s="69">
        <v>-390964</v>
      </c>
      <c r="L220" s="69">
        <v>-390964</v>
      </c>
      <c r="M220" s="69">
        <v>-363599</v>
      </c>
      <c r="N220" s="54"/>
      <c r="O220" s="69">
        <v>874619</v>
      </c>
      <c r="P220" s="69">
        <v>874619</v>
      </c>
      <c r="Q220" s="69">
        <v>874619</v>
      </c>
      <c r="R220" s="69">
        <v>760920</v>
      </c>
      <c r="S220" s="69"/>
      <c r="T220" s="69">
        <v>-156019</v>
      </c>
      <c r="U220" s="69">
        <v>-156019</v>
      </c>
      <c r="V220" s="69">
        <v>-138856</v>
      </c>
      <c r="W220" s="54"/>
      <c r="X220" s="69">
        <v>-451759</v>
      </c>
      <c r="Y220" s="69">
        <v>-442725</v>
      </c>
      <c r="Z220" s="54"/>
      <c r="AA220" s="108">
        <v>3368844</v>
      </c>
      <c r="AB220" s="54"/>
      <c r="AC220" s="108">
        <f>VLOOKUP(A220,'Change in Proportion Calc'!$A$5:$H$311,8,FALSE)+SUMIF($C$5:$AB$5,2026,C220:AB220)</f>
        <v>3105064</v>
      </c>
      <c r="AE220" s="107">
        <f t="shared" si="16"/>
        <v>2510158</v>
      </c>
      <c r="AF220" s="107">
        <f t="shared" si="17"/>
        <v>2940253</v>
      </c>
      <c r="AH220" s="107"/>
      <c r="AI220" s="108"/>
      <c r="AJ220" s="108"/>
      <c r="AK220" s="213">
        <f t="shared" si="15"/>
        <v>29123</v>
      </c>
      <c r="AL220" s="107">
        <f t="shared" si="18"/>
        <v>-254746</v>
      </c>
      <c r="AM220" s="107">
        <f t="shared" si="18"/>
        <v>205142</v>
      </c>
      <c r="AN220" s="107">
        <f t="shared" si="18"/>
        <v>230299</v>
      </c>
      <c r="AO220" s="107">
        <f t="shared" si="18"/>
        <v>-503256</v>
      </c>
      <c r="AP220" s="107">
        <f t="shared" si="18"/>
        <v>-107534</v>
      </c>
    </row>
    <row r="221" spans="1:42">
      <c r="A221" s="51">
        <v>2318</v>
      </c>
      <c r="B221" s="55" t="s">
        <v>207</v>
      </c>
      <c r="C221" s="234">
        <f>_xlfn.XLOOKUP($A221,'Change in Proportion Calc'!$A$5:$A$311,'Change in Proportion Calc'!L$5:L$311,"n",0,1)</f>
        <v>-24392</v>
      </c>
      <c r="D221" s="234">
        <f>_xlfn.XLOOKUP($A221,'Change in Proportion Calc'!$A$5:$A$311,'Change in Proportion Calc'!M$5:M$311,"n",0,1)</f>
        <v>-24392</v>
      </c>
      <c r="E221" s="234">
        <f>_xlfn.XLOOKUP($A221,'Change in Proportion Calc'!$A$5:$A$311,'Change in Proportion Calc'!N$5:N$311,"n",0,1)</f>
        <v>-24392</v>
      </c>
      <c r="F221" s="234">
        <f>_xlfn.XLOOKUP($A221,'Change in Proportion Calc'!$A$5:$A$311,'Change in Proportion Calc'!O$5:O$311,"n",0,1)</f>
        <v>-24392</v>
      </c>
      <c r="G221" s="234">
        <f>_xlfn.XLOOKUP($A221,'Change in Proportion Calc'!$A$5:$A$311,'Change in Proportion Calc'!P$5:P$311,"n",0,1)</f>
        <v>-18779</v>
      </c>
      <c r="H221" s="54"/>
      <c r="I221" s="69">
        <v>-68934</v>
      </c>
      <c r="J221" s="69">
        <v>-68934</v>
      </c>
      <c r="K221" s="69">
        <v>-68934</v>
      </c>
      <c r="L221" s="69">
        <v>-68934</v>
      </c>
      <c r="M221" s="69">
        <v>-64106</v>
      </c>
      <c r="N221" s="54"/>
      <c r="O221" s="69">
        <v>57366</v>
      </c>
      <c r="P221" s="69">
        <v>57366</v>
      </c>
      <c r="Q221" s="69">
        <v>57366</v>
      </c>
      <c r="R221" s="69">
        <v>49909</v>
      </c>
      <c r="S221" s="69"/>
      <c r="T221" s="69">
        <v>8386</v>
      </c>
      <c r="U221" s="69">
        <v>8386</v>
      </c>
      <c r="V221" s="69">
        <v>7463</v>
      </c>
      <c r="W221" s="54"/>
      <c r="X221" s="69">
        <v>10610</v>
      </c>
      <c r="Y221" s="69">
        <v>10396</v>
      </c>
      <c r="Z221" s="54"/>
      <c r="AA221" s="108">
        <v>19944</v>
      </c>
      <c r="AB221" s="54"/>
      <c r="AC221" s="108">
        <f>VLOOKUP(A221,'Change in Proportion Calc'!$A$5:$H$311,8,FALSE)+SUMIF($C$5:$AB$5,2026,C221:AB221)</f>
        <v>2980</v>
      </c>
      <c r="AE221" s="107">
        <f t="shared" si="16"/>
        <v>190886</v>
      </c>
      <c r="AF221" s="107">
        <f t="shared" si="17"/>
        <v>387255</v>
      </c>
      <c r="AH221" s="107"/>
      <c r="AI221" s="108"/>
      <c r="AJ221" s="108"/>
      <c r="AK221" s="213">
        <f t="shared" si="15"/>
        <v>2318</v>
      </c>
      <c r="AL221" s="107">
        <f t="shared" si="18"/>
        <v>-17178</v>
      </c>
      <c r="AM221" s="107">
        <f t="shared" si="18"/>
        <v>-28497</v>
      </c>
      <c r="AN221" s="107">
        <f t="shared" si="18"/>
        <v>-43417</v>
      </c>
      <c r="AO221" s="107">
        <f t="shared" si="18"/>
        <v>-88498</v>
      </c>
      <c r="AP221" s="107">
        <f t="shared" si="18"/>
        <v>-18779</v>
      </c>
    </row>
    <row r="222" spans="1:42">
      <c r="A222" s="53">
        <v>3250</v>
      </c>
      <c r="B222" s="54" t="s">
        <v>208</v>
      </c>
      <c r="C222" s="234">
        <f>_xlfn.XLOOKUP($A222,'Change in Proportion Calc'!$A$5:$A$311,'Change in Proportion Calc'!L$5:L$311,"n",0,1)</f>
        <v>6135</v>
      </c>
      <c r="D222" s="234">
        <f>_xlfn.XLOOKUP($A222,'Change in Proportion Calc'!$A$5:$A$311,'Change in Proportion Calc'!M$5:M$311,"n",0,1)</f>
        <v>6135</v>
      </c>
      <c r="E222" s="234">
        <f>_xlfn.XLOOKUP($A222,'Change in Proportion Calc'!$A$5:$A$311,'Change in Proportion Calc'!N$5:N$311,"n",0,1)</f>
        <v>6135</v>
      </c>
      <c r="F222" s="234">
        <f>_xlfn.XLOOKUP($A222,'Change in Proportion Calc'!$A$5:$A$311,'Change in Proportion Calc'!O$5:O$311,"n",0,1)</f>
        <v>6135</v>
      </c>
      <c r="G222" s="234">
        <f>_xlfn.XLOOKUP($A222,'Change in Proportion Calc'!$A$5:$A$311,'Change in Proportion Calc'!P$5:P$311,"n",0,1)</f>
        <v>4726</v>
      </c>
      <c r="H222" s="54"/>
      <c r="I222" s="69">
        <v>-25117</v>
      </c>
      <c r="J222" s="69">
        <v>-25117</v>
      </c>
      <c r="K222" s="69">
        <v>-25117</v>
      </c>
      <c r="L222" s="69">
        <v>-25117</v>
      </c>
      <c r="M222" s="69">
        <v>-23358</v>
      </c>
      <c r="N222" s="54"/>
      <c r="O222" s="69">
        <v>-17434</v>
      </c>
      <c r="P222" s="69">
        <v>-17434</v>
      </c>
      <c r="Q222" s="69">
        <v>-17434</v>
      </c>
      <c r="R222" s="69">
        <v>-15170</v>
      </c>
      <c r="S222" s="69"/>
      <c r="T222" s="69">
        <v>15678</v>
      </c>
      <c r="U222" s="69">
        <v>15678</v>
      </c>
      <c r="V222" s="69">
        <v>13951</v>
      </c>
      <c r="W222" s="54"/>
      <c r="X222" s="69">
        <v>-18061</v>
      </c>
      <c r="Y222" s="69">
        <v>-17698</v>
      </c>
      <c r="Z222" s="54"/>
      <c r="AA222" s="108">
        <v>-28021</v>
      </c>
      <c r="AB222" s="54"/>
      <c r="AC222" s="108">
        <f>VLOOKUP(A222,'Change in Proportion Calc'!$A$5:$H$311,8,FALSE)+SUMIF($C$5:$AB$5,2026,C222:AB222)</f>
        <v>-66820</v>
      </c>
      <c r="AE222" s="107">
        <f t="shared" si="16"/>
        <v>58895</v>
      </c>
      <c r="AF222" s="107">
        <f t="shared" si="17"/>
        <v>166445</v>
      </c>
      <c r="AH222" s="107"/>
      <c r="AI222" s="108"/>
      <c r="AJ222" s="108"/>
      <c r="AK222" s="213">
        <f t="shared" si="15"/>
        <v>3250</v>
      </c>
      <c r="AL222" s="107">
        <f t="shared" si="18"/>
        <v>-38436</v>
      </c>
      <c r="AM222" s="107">
        <f t="shared" si="18"/>
        <v>-22465</v>
      </c>
      <c r="AN222" s="107">
        <f t="shared" si="18"/>
        <v>-34152</v>
      </c>
      <c r="AO222" s="107">
        <f t="shared" si="18"/>
        <v>-17223</v>
      </c>
      <c r="AP222" s="107">
        <f t="shared" si="18"/>
        <v>4726</v>
      </c>
    </row>
    <row r="223" spans="1:42">
      <c r="A223" s="51">
        <v>2313</v>
      </c>
      <c r="B223" s="55" t="s">
        <v>209</v>
      </c>
      <c r="C223" s="234">
        <f>_xlfn.XLOOKUP($A223,'Change in Proportion Calc'!$A$5:$A$311,'Change in Proportion Calc'!L$5:L$311,"n",0,1)</f>
        <v>-2869</v>
      </c>
      <c r="D223" s="234">
        <f>_xlfn.XLOOKUP($A223,'Change in Proportion Calc'!$A$5:$A$311,'Change in Proportion Calc'!M$5:M$311,"n",0,1)</f>
        <v>-2869</v>
      </c>
      <c r="E223" s="234">
        <f>_xlfn.XLOOKUP($A223,'Change in Proportion Calc'!$A$5:$A$311,'Change in Proportion Calc'!N$5:N$311,"n",0,1)</f>
        <v>-2869</v>
      </c>
      <c r="F223" s="234">
        <f>_xlfn.XLOOKUP($A223,'Change in Proportion Calc'!$A$5:$A$311,'Change in Proportion Calc'!O$5:O$311,"n",0,1)</f>
        <v>-2869</v>
      </c>
      <c r="G223" s="234">
        <f>_xlfn.XLOOKUP($A223,'Change in Proportion Calc'!$A$5:$A$311,'Change in Proportion Calc'!P$5:P$311,"n",0,1)</f>
        <v>-2207</v>
      </c>
      <c r="H223" s="54"/>
      <c r="I223" s="69">
        <v>1865</v>
      </c>
      <c r="J223" s="69">
        <v>1865</v>
      </c>
      <c r="K223" s="69">
        <v>1865</v>
      </c>
      <c r="L223" s="69">
        <v>1865</v>
      </c>
      <c r="M223" s="69">
        <v>1733</v>
      </c>
      <c r="N223" s="54"/>
      <c r="O223" s="69">
        <v>578</v>
      </c>
      <c r="P223" s="69">
        <v>578</v>
      </c>
      <c r="Q223" s="69">
        <v>578</v>
      </c>
      <c r="R223" s="69">
        <v>501</v>
      </c>
      <c r="S223" s="69"/>
      <c r="T223" s="69">
        <v>12416</v>
      </c>
      <c r="U223" s="69">
        <v>12416</v>
      </c>
      <c r="V223" s="69">
        <v>11049</v>
      </c>
      <c r="W223" s="54"/>
      <c r="X223" s="69">
        <v>4131</v>
      </c>
      <c r="Y223" s="69">
        <v>4046</v>
      </c>
      <c r="Z223" s="54"/>
      <c r="AA223" s="108">
        <v>-1095</v>
      </c>
      <c r="AB223" s="54"/>
      <c r="AC223" s="108">
        <f>VLOOKUP(A223,'Change in Proportion Calc'!$A$5:$H$311,8,FALSE)+SUMIF($C$5:$AB$5,2026,C223:AB223)</f>
        <v>15026</v>
      </c>
      <c r="AE223" s="107">
        <f t="shared" si="16"/>
        <v>36496</v>
      </c>
      <c r="AF223" s="107">
        <f t="shared" si="17"/>
        <v>13683</v>
      </c>
      <c r="AH223" s="107"/>
      <c r="AI223" s="108"/>
      <c r="AJ223" s="108"/>
      <c r="AK223" s="213">
        <f t="shared" si="15"/>
        <v>2313</v>
      </c>
      <c r="AL223" s="107">
        <f t="shared" si="18"/>
        <v>16036</v>
      </c>
      <c r="AM223" s="107">
        <f t="shared" si="18"/>
        <v>10623</v>
      </c>
      <c r="AN223" s="107">
        <f t="shared" si="18"/>
        <v>-503</v>
      </c>
      <c r="AO223" s="107">
        <f t="shared" si="18"/>
        <v>-1136</v>
      </c>
      <c r="AP223" s="107">
        <f t="shared" si="18"/>
        <v>-2207</v>
      </c>
    </row>
    <row r="224" spans="1:42">
      <c r="A224" s="53">
        <v>4011</v>
      </c>
      <c r="B224" s="54" t="s">
        <v>210</v>
      </c>
      <c r="C224" s="234">
        <f>_xlfn.XLOOKUP($A224,'Change in Proportion Calc'!$A$5:$A$311,'Change in Proportion Calc'!L$5:L$311,"n",0,1)</f>
        <v>-94224</v>
      </c>
      <c r="D224" s="234">
        <f>_xlfn.XLOOKUP($A224,'Change in Proportion Calc'!$A$5:$A$311,'Change in Proportion Calc'!M$5:M$311,"n",0,1)</f>
        <v>-94224</v>
      </c>
      <c r="E224" s="234">
        <f>_xlfn.XLOOKUP($A224,'Change in Proportion Calc'!$A$5:$A$311,'Change in Proportion Calc'!N$5:N$311,"n",0,1)</f>
        <v>-94224</v>
      </c>
      <c r="F224" s="234">
        <f>_xlfn.XLOOKUP($A224,'Change in Proportion Calc'!$A$5:$A$311,'Change in Proportion Calc'!O$5:O$311,"n",0,1)</f>
        <v>-94224</v>
      </c>
      <c r="G224" s="234">
        <f>_xlfn.XLOOKUP($A224,'Change in Proportion Calc'!$A$5:$A$311,'Change in Proportion Calc'!P$5:P$311,"n",0,1)</f>
        <v>-72553</v>
      </c>
      <c r="H224" s="54"/>
      <c r="I224" s="69">
        <v>-195962</v>
      </c>
      <c r="J224" s="69">
        <v>-195962</v>
      </c>
      <c r="K224" s="69">
        <v>-195962</v>
      </c>
      <c r="L224" s="69">
        <v>-195962</v>
      </c>
      <c r="M224" s="69">
        <v>-182244</v>
      </c>
      <c r="N224" s="54"/>
      <c r="O224" s="69">
        <v>220444</v>
      </c>
      <c r="P224" s="69">
        <v>220444</v>
      </c>
      <c r="Q224" s="69">
        <v>220444</v>
      </c>
      <c r="R224" s="69">
        <v>191784</v>
      </c>
      <c r="S224" s="69"/>
      <c r="T224" s="69">
        <v>275584</v>
      </c>
      <c r="U224" s="69">
        <v>275584</v>
      </c>
      <c r="V224" s="69">
        <v>245272</v>
      </c>
      <c r="W224" s="54"/>
      <c r="X224" s="69">
        <v>237623</v>
      </c>
      <c r="Y224" s="69">
        <v>232871</v>
      </c>
      <c r="Z224" s="54"/>
      <c r="AA224" s="108">
        <v>212230</v>
      </c>
      <c r="AB224" s="54"/>
      <c r="AC224" s="108">
        <f>VLOOKUP(A224,'Change in Proportion Calc'!$A$5:$H$311,8,FALSE)+SUMIF($C$5:$AB$5,2026,C224:AB224)</f>
        <v>655695</v>
      </c>
      <c r="AE224" s="107">
        <f t="shared" si="16"/>
        <v>1386399</v>
      </c>
      <c r="AF224" s="107">
        <f t="shared" si="17"/>
        <v>1219579</v>
      </c>
      <c r="AH224" s="107"/>
      <c r="AI224" s="108"/>
      <c r="AJ224" s="108"/>
      <c r="AK224" s="213">
        <f t="shared" si="15"/>
        <v>4011</v>
      </c>
      <c r="AL224" s="107">
        <f t="shared" si="18"/>
        <v>438713</v>
      </c>
      <c r="AM224" s="107">
        <f t="shared" si="18"/>
        <v>175530</v>
      </c>
      <c r="AN224" s="107">
        <f t="shared" si="18"/>
        <v>-98402</v>
      </c>
      <c r="AO224" s="107">
        <f t="shared" si="18"/>
        <v>-276468</v>
      </c>
      <c r="AP224" s="107">
        <f t="shared" si="18"/>
        <v>-72553</v>
      </c>
    </row>
    <row r="225" spans="1:42">
      <c r="A225" s="51">
        <v>31092</v>
      </c>
      <c r="B225" s="55" t="s">
        <v>211</v>
      </c>
      <c r="C225" s="234">
        <f>_xlfn.XLOOKUP($A225,'Change in Proportion Calc'!$A$5:$A$311,'Change in Proportion Calc'!L$5:L$311,"n",0,1)</f>
        <v>2307</v>
      </c>
      <c r="D225" s="234">
        <f>_xlfn.XLOOKUP($A225,'Change in Proportion Calc'!$A$5:$A$311,'Change in Proportion Calc'!M$5:M$311,"n",0,1)</f>
        <v>2307</v>
      </c>
      <c r="E225" s="234">
        <f>_xlfn.XLOOKUP($A225,'Change in Proportion Calc'!$A$5:$A$311,'Change in Proportion Calc'!N$5:N$311,"n",0,1)</f>
        <v>2307</v>
      </c>
      <c r="F225" s="234">
        <f>_xlfn.XLOOKUP($A225,'Change in Proportion Calc'!$A$5:$A$311,'Change in Proportion Calc'!O$5:O$311,"n",0,1)</f>
        <v>2307</v>
      </c>
      <c r="G225" s="234">
        <f>_xlfn.XLOOKUP($A225,'Change in Proportion Calc'!$A$5:$A$311,'Change in Proportion Calc'!P$5:P$311,"n",0,1)</f>
        <v>1775</v>
      </c>
      <c r="H225" s="54"/>
      <c r="I225" s="69">
        <v>2803</v>
      </c>
      <c r="J225" s="69">
        <v>2803</v>
      </c>
      <c r="K225" s="69">
        <v>2803</v>
      </c>
      <c r="L225" s="69">
        <v>2803</v>
      </c>
      <c r="M225" s="69">
        <v>2609</v>
      </c>
      <c r="N225" s="54"/>
      <c r="O225" s="69">
        <v>-17620</v>
      </c>
      <c r="P225" s="69">
        <v>-17620</v>
      </c>
      <c r="Q225" s="69">
        <v>-17620</v>
      </c>
      <c r="R225" s="69">
        <v>-15327</v>
      </c>
      <c r="S225" s="69"/>
      <c r="T225" s="69">
        <v>15035</v>
      </c>
      <c r="U225" s="69">
        <v>15035</v>
      </c>
      <c r="V225" s="69">
        <v>13383</v>
      </c>
      <c r="W225" s="54"/>
      <c r="X225" s="69">
        <v>7046</v>
      </c>
      <c r="Y225" s="69">
        <v>6906</v>
      </c>
      <c r="Z225" s="54"/>
      <c r="AA225" s="108">
        <v>4206</v>
      </c>
      <c r="AB225" s="54"/>
      <c r="AC225" s="108">
        <f>VLOOKUP(A225,'Change in Proportion Calc'!$A$5:$H$311,8,FALSE)+SUMIF($C$5:$AB$5,2026,C225:AB225)</f>
        <v>13777</v>
      </c>
      <c r="AE225" s="107">
        <f t="shared" si="16"/>
        <v>57345</v>
      </c>
      <c r="AF225" s="107">
        <f t="shared" si="17"/>
        <v>50567</v>
      </c>
      <c r="AH225" s="107"/>
      <c r="AI225" s="108"/>
      <c r="AJ225" s="108"/>
      <c r="AK225" s="213">
        <f t="shared" si="15"/>
        <v>31092</v>
      </c>
      <c r="AL225" s="107">
        <f t="shared" si="18"/>
        <v>9431</v>
      </c>
      <c r="AM225" s="107">
        <f t="shared" si="18"/>
        <v>873</v>
      </c>
      <c r="AN225" s="107">
        <f t="shared" si="18"/>
        <v>-10217</v>
      </c>
      <c r="AO225" s="107">
        <f t="shared" si="18"/>
        <v>4916</v>
      </c>
      <c r="AP225" s="107">
        <f t="shared" si="18"/>
        <v>1775</v>
      </c>
    </row>
    <row r="226" spans="1:42">
      <c r="A226" s="88">
        <v>26081</v>
      </c>
      <c r="B226" s="89" t="s">
        <v>212</v>
      </c>
      <c r="C226" s="234">
        <f>_xlfn.XLOOKUP($A226,'Change in Proportion Calc'!$A$5:$A$311,'Change in Proportion Calc'!L$5:L$311,"n",0,1)</f>
        <v>-86275</v>
      </c>
      <c r="D226" s="234">
        <f>_xlfn.XLOOKUP($A226,'Change in Proportion Calc'!$A$5:$A$311,'Change in Proportion Calc'!M$5:M$311,"n",0,1)</f>
        <v>-86275</v>
      </c>
      <c r="E226" s="234">
        <f>_xlfn.XLOOKUP($A226,'Change in Proportion Calc'!$A$5:$A$311,'Change in Proportion Calc'!N$5:N$311,"n",0,1)</f>
        <v>-86275</v>
      </c>
      <c r="F226" s="234">
        <f>_xlfn.XLOOKUP($A226,'Change in Proportion Calc'!$A$5:$A$311,'Change in Proportion Calc'!O$5:O$311,"n",0,1)</f>
        <v>-86275</v>
      </c>
      <c r="G226" s="234">
        <f>_xlfn.XLOOKUP($A226,'Change in Proportion Calc'!$A$5:$A$311,'Change in Proportion Calc'!P$5:P$311,"n",0,1)</f>
        <v>-66434</v>
      </c>
      <c r="H226" s="54"/>
      <c r="I226" s="69">
        <v>-16296</v>
      </c>
      <c r="J226" s="69">
        <v>-16296</v>
      </c>
      <c r="K226" s="69">
        <v>-16296</v>
      </c>
      <c r="L226" s="69">
        <v>-16296</v>
      </c>
      <c r="M226" s="69">
        <v>-15155</v>
      </c>
      <c r="N226" s="54"/>
      <c r="O226" s="69">
        <v>186180</v>
      </c>
      <c r="P226" s="69">
        <v>186180</v>
      </c>
      <c r="Q226" s="69">
        <v>186180</v>
      </c>
      <c r="R226" s="69">
        <v>161978</v>
      </c>
      <c r="S226" s="69"/>
      <c r="T226" s="69">
        <v>-71567</v>
      </c>
      <c r="U226" s="69">
        <v>-71567</v>
      </c>
      <c r="V226" s="69">
        <v>-63694</v>
      </c>
      <c r="W226" s="54"/>
      <c r="X226" s="69">
        <v>-70866</v>
      </c>
      <c r="Y226" s="69">
        <v>-69447</v>
      </c>
      <c r="Z226" s="54"/>
      <c r="AA226" s="108">
        <v>45443</v>
      </c>
      <c r="AB226" s="54"/>
      <c r="AC226" s="108">
        <f>VLOOKUP(A226,'Change in Proportion Calc'!$A$5:$H$311,8,FALSE)+SUMIF($C$5:$AB$5,2026,C226:AB226)</f>
        <v>-13381</v>
      </c>
      <c r="AE226" s="107">
        <f t="shared" si="16"/>
        <v>534338</v>
      </c>
      <c r="AF226" s="107">
        <f t="shared" si="17"/>
        <v>680285</v>
      </c>
      <c r="AH226" s="107"/>
      <c r="AI226" s="108"/>
      <c r="AJ226" s="108"/>
      <c r="AK226" s="213">
        <f t="shared" si="15"/>
        <v>26081</v>
      </c>
      <c r="AL226" s="107">
        <f t="shared" si="18"/>
        <v>-57405</v>
      </c>
      <c r="AM226" s="107">
        <f t="shared" si="18"/>
        <v>19915</v>
      </c>
      <c r="AN226" s="107">
        <f t="shared" si="18"/>
        <v>59407</v>
      </c>
      <c r="AO226" s="107">
        <f t="shared" si="18"/>
        <v>-101430</v>
      </c>
      <c r="AP226" s="107">
        <f t="shared" si="18"/>
        <v>-66434</v>
      </c>
    </row>
    <row r="227" spans="1:42">
      <c r="A227" s="51">
        <v>29305</v>
      </c>
      <c r="B227" s="55" t="s">
        <v>213</v>
      </c>
      <c r="C227" s="234">
        <f>_xlfn.XLOOKUP($A227,'Change in Proportion Calc'!$A$5:$A$311,'Change in Proportion Calc'!L$5:L$311,"n",0,1)</f>
        <v>-18690</v>
      </c>
      <c r="D227" s="234">
        <f>_xlfn.XLOOKUP($A227,'Change in Proportion Calc'!$A$5:$A$311,'Change in Proportion Calc'!M$5:M$311,"n",0,1)</f>
        <v>-18690</v>
      </c>
      <c r="E227" s="234">
        <f>_xlfn.XLOOKUP($A227,'Change in Proportion Calc'!$A$5:$A$311,'Change in Proportion Calc'!N$5:N$311,"n",0,1)</f>
        <v>-18690</v>
      </c>
      <c r="F227" s="234">
        <f>_xlfn.XLOOKUP($A227,'Change in Proportion Calc'!$A$5:$A$311,'Change in Proportion Calc'!O$5:O$311,"n",0,1)</f>
        <v>-18690</v>
      </c>
      <c r="G227" s="234">
        <f>_xlfn.XLOOKUP($A227,'Change in Proportion Calc'!$A$5:$A$311,'Change in Proportion Calc'!P$5:P$311,"n",0,1)</f>
        <v>-14394</v>
      </c>
      <c r="H227" s="54"/>
      <c r="I227" s="69">
        <v>9384</v>
      </c>
      <c r="J227" s="69">
        <v>9384</v>
      </c>
      <c r="K227" s="69">
        <v>9384</v>
      </c>
      <c r="L227" s="69">
        <v>9384</v>
      </c>
      <c r="M227" s="69">
        <v>8730</v>
      </c>
      <c r="N227" s="54"/>
      <c r="O227" s="69">
        <v>-9472</v>
      </c>
      <c r="P227" s="69">
        <v>-9472</v>
      </c>
      <c r="Q227" s="69">
        <v>-9472</v>
      </c>
      <c r="R227" s="69">
        <v>-8243</v>
      </c>
      <c r="S227" s="69"/>
      <c r="T227" s="69">
        <v>-18758</v>
      </c>
      <c r="U227" s="69">
        <v>-18758</v>
      </c>
      <c r="V227" s="69">
        <v>-16696</v>
      </c>
      <c r="W227" s="54"/>
      <c r="X227" s="69">
        <v>-10529</v>
      </c>
      <c r="Y227" s="69">
        <v>-10316</v>
      </c>
      <c r="Z227" s="54"/>
      <c r="AA227" s="108">
        <v>3281</v>
      </c>
      <c r="AB227" s="54"/>
      <c r="AC227" s="108">
        <f>VLOOKUP(A227,'Change in Proportion Calc'!$A$5:$H$311,8,FALSE)+SUMIF($C$5:$AB$5,2026,C227:AB227)</f>
        <v>-44784</v>
      </c>
      <c r="AE227" s="107">
        <f t="shared" si="16"/>
        <v>36882</v>
      </c>
      <c r="AF227" s="107">
        <f t="shared" si="17"/>
        <v>162111</v>
      </c>
      <c r="AH227" s="107"/>
      <c r="AI227" s="108"/>
      <c r="AJ227" s="108"/>
      <c r="AK227" s="213">
        <f t="shared" si="15"/>
        <v>29305</v>
      </c>
      <c r="AL227" s="107">
        <f t="shared" si="18"/>
        <v>-47852</v>
      </c>
      <c r="AM227" s="107">
        <f t="shared" si="18"/>
        <v>-35474</v>
      </c>
      <c r="AN227" s="107">
        <f t="shared" si="18"/>
        <v>-17549</v>
      </c>
      <c r="AO227" s="107">
        <f t="shared" si="18"/>
        <v>-9960</v>
      </c>
      <c r="AP227" s="107">
        <f t="shared" si="18"/>
        <v>-14394</v>
      </c>
    </row>
    <row r="228" spans="1:42">
      <c r="A228" s="53">
        <v>10032</v>
      </c>
      <c r="B228" s="54" t="s">
        <v>214</v>
      </c>
      <c r="C228" s="234">
        <f>_xlfn.XLOOKUP($A228,'Change in Proportion Calc'!$A$5:$A$311,'Change in Proportion Calc'!L$5:L$311,"n",0,1)</f>
        <v>-6691</v>
      </c>
      <c r="D228" s="234">
        <f>_xlfn.XLOOKUP($A228,'Change in Proportion Calc'!$A$5:$A$311,'Change in Proportion Calc'!M$5:M$311,"n",0,1)</f>
        <v>-6691</v>
      </c>
      <c r="E228" s="234">
        <f>_xlfn.XLOOKUP($A228,'Change in Proportion Calc'!$A$5:$A$311,'Change in Proportion Calc'!N$5:N$311,"n",0,1)</f>
        <v>-6691</v>
      </c>
      <c r="F228" s="234">
        <f>_xlfn.XLOOKUP($A228,'Change in Proportion Calc'!$A$5:$A$311,'Change in Proportion Calc'!O$5:O$311,"n",0,1)</f>
        <v>-6691</v>
      </c>
      <c r="G228" s="234">
        <f>_xlfn.XLOOKUP($A228,'Change in Proportion Calc'!$A$5:$A$311,'Change in Proportion Calc'!P$5:P$311,"n",0,1)</f>
        <v>-5151</v>
      </c>
      <c r="H228" s="54"/>
      <c r="I228" s="69">
        <v>19808</v>
      </c>
      <c r="J228" s="69">
        <v>19808</v>
      </c>
      <c r="K228" s="69">
        <v>19808</v>
      </c>
      <c r="L228" s="69">
        <v>19808</v>
      </c>
      <c r="M228" s="69">
        <v>18422</v>
      </c>
      <c r="N228" s="54"/>
      <c r="O228" s="69">
        <v>9717</v>
      </c>
      <c r="P228" s="69">
        <v>9717</v>
      </c>
      <c r="Q228" s="69">
        <v>9717</v>
      </c>
      <c r="R228" s="69">
        <v>8454</v>
      </c>
      <c r="S228" s="69"/>
      <c r="T228" s="69">
        <v>-9144</v>
      </c>
      <c r="U228" s="69">
        <v>-9144</v>
      </c>
      <c r="V228" s="69">
        <v>-8136</v>
      </c>
      <c r="W228" s="54"/>
      <c r="X228" s="69">
        <v>-4373</v>
      </c>
      <c r="Y228" s="69">
        <v>-4288</v>
      </c>
      <c r="Z228" s="54"/>
      <c r="AA228" s="108">
        <v>-15149</v>
      </c>
      <c r="AB228" s="54"/>
      <c r="AC228" s="108">
        <f>VLOOKUP(A228,'Change in Proportion Calc'!$A$5:$H$311,8,FALSE)+SUMIF($C$5:$AB$5,2026,C228:AB228)</f>
        <v>-5832</v>
      </c>
      <c r="AE228" s="107">
        <f t="shared" si="16"/>
        <v>105734</v>
      </c>
      <c r="AF228" s="107">
        <f t="shared" si="17"/>
        <v>53483</v>
      </c>
      <c r="AH228" s="107"/>
      <c r="AI228" s="108"/>
      <c r="AJ228" s="108"/>
      <c r="AK228" s="213">
        <f t="shared" si="15"/>
        <v>10032</v>
      </c>
      <c r="AL228" s="107">
        <f t="shared" si="18"/>
        <v>9402</v>
      </c>
      <c r="AM228" s="107">
        <f t="shared" si="18"/>
        <v>14698</v>
      </c>
      <c r="AN228" s="107">
        <f t="shared" si="18"/>
        <v>21571</v>
      </c>
      <c r="AO228" s="107">
        <f t="shared" si="18"/>
        <v>11731</v>
      </c>
      <c r="AP228" s="107">
        <f t="shared" si="18"/>
        <v>-5151</v>
      </c>
    </row>
    <row r="229" spans="1:42">
      <c r="A229" s="51">
        <v>32107</v>
      </c>
      <c r="B229" s="55" t="s">
        <v>215</v>
      </c>
      <c r="C229" s="234">
        <f>_xlfn.XLOOKUP($A229,'Change in Proportion Calc'!$A$5:$A$311,'Change in Proportion Calc'!L$5:L$311,"n",0,1)</f>
        <v>-7090</v>
      </c>
      <c r="D229" s="234">
        <f>_xlfn.XLOOKUP($A229,'Change in Proportion Calc'!$A$5:$A$311,'Change in Proportion Calc'!M$5:M$311,"n",0,1)</f>
        <v>-7090</v>
      </c>
      <c r="E229" s="234">
        <f>_xlfn.XLOOKUP($A229,'Change in Proportion Calc'!$A$5:$A$311,'Change in Proportion Calc'!N$5:N$311,"n",0,1)</f>
        <v>-7090</v>
      </c>
      <c r="F229" s="234">
        <f>_xlfn.XLOOKUP($A229,'Change in Proportion Calc'!$A$5:$A$311,'Change in Proportion Calc'!O$5:O$311,"n",0,1)</f>
        <v>-7090</v>
      </c>
      <c r="G229" s="234">
        <f>_xlfn.XLOOKUP($A229,'Change in Proportion Calc'!$A$5:$A$311,'Change in Proportion Calc'!P$5:P$311,"n",0,1)</f>
        <v>-5460</v>
      </c>
      <c r="H229" s="54"/>
      <c r="I229" s="69">
        <v>3059</v>
      </c>
      <c r="J229" s="69">
        <v>3059</v>
      </c>
      <c r="K229" s="69">
        <v>3059</v>
      </c>
      <c r="L229" s="69">
        <v>3059</v>
      </c>
      <c r="M229" s="69">
        <v>2843</v>
      </c>
      <c r="N229" s="54"/>
      <c r="O229" s="69">
        <v>44971</v>
      </c>
      <c r="P229" s="69">
        <v>44971</v>
      </c>
      <c r="Q229" s="69">
        <v>44971</v>
      </c>
      <c r="R229" s="69">
        <v>39127</v>
      </c>
      <c r="S229" s="69"/>
      <c r="T229" s="69">
        <v>-19539</v>
      </c>
      <c r="U229" s="69">
        <v>-19539</v>
      </c>
      <c r="V229" s="69">
        <v>-17392</v>
      </c>
      <c r="W229" s="54"/>
      <c r="X229" s="69">
        <v>-11257</v>
      </c>
      <c r="Y229" s="69">
        <v>-11034</v>
      </c>
      <c r="Z229" s="54"/>
      <c r="AA229" s="108">
        <v>-49481</v>
      </c>
      <c r="AB229" s="54"/>
      <c r="AC229" s="108">
        <f>VLOOKUP(A229,'Change in Proportion Calc'!$A$5:$H$311,8,FALSE)+SUMIF($C$5:$AB$5,2026,C229:AB229)</f>
        <v>-39337</v>
      </c>
      <c r="AE229" s="107">
        <f t="shared" si="16"/>
        <v>141089</v>
      </c>
      <c r="AF229" s="107">
        <f t="shared" si="17"/>
        <v>81785</v>
      </c>
      <c r="AH229" s="107"/>
      <c r="AI229" s="108"/>
      <c r="AJ229" s="108"/>
      <c r="AK229" s="213">
        <f t="shared" si="15"/>
        <v>32107</v>
      </c>
      <c r="AL229" s="107">
        <f t="shared" si="18"/>
        <v>10367</v>
      </c>
      <c r="AM229" s="107">
        <f t="shared" si="18"/>
        <v>23548</v>
      </c>
      <c r="AN229" s="107">
        <f t="shared" si="18"/>
        <v>35096</v>
      </c>
      <c r="AO229" s="107">
        <f t="shared" si="18"/>
        <v>-4247</v>
      </c>
      <c r="AP229" s="107">
        <f t="shared" si="18"/>
        <v>-5460</v>
      </c>
    </row>
    <row r="230" spans="1:42">
      <c r="A230" s="53">
        <v>3260</v>
      </c>
      <c r="B230" s="54" t="s">
        <v>216</v>
      </c>
      <c r="C230" s="234">
        <f>_xlfn.XLOOKUP($A230,'Change in Proportion Calc'!$A$5:$A$311,'Change in Proportion Calc'!L$5:L$311,"n",0,1)</f>
        <v>63957</v>
      </c>
      <c r="D230" s="234">
        <f>_xlfn.XLOOKUP($A230,'Change in Proportion Calc'!$A$5:$A$311,'Change in Proportion Calc'!M$5:M$311,"n",0,1)</f>
        <v>63957</v>
      </c>
      <c r="E230" s="234">
        <f>_xlfn.XLOOKUP($A230,'Change in Proportion Calc'!$A$5:$A$311,'Change in Proportion Calc'!N$5:N$311,"n",0,1)</f>
        <v>63957</v>
      </c>
      <c r="F230" s="234">
        <f>_xlfn.XLOOKUP($A230,'Change in Proportion Calc'!$A$5:$A$311,'Change in Proportion Calc'!O$5:O$311,"n",0,1)</f>
        <v>63957</v>
      </c>
      <c r="G230" s="234">
        <f>_xlfn.XLOOKUP($A230,'Change in Proportion Calc'!$A$5:$A$311,'Change in Proportion Calc'!P$5:P$311,"n",0,1)</f>
        <v>49246</v>
      </c>
      <c r="H230" s="54"/>
      <c r="I230" s="69">
        <v>-58743</v>
      </c>
      <c r="J230" s="69">
        <v>-58743</v>
      </c>
      <c r="K230" s="69">
        <v>-58743</v>
      </c>
      <c r="L230" s="69">
        <v>-58743</v>
      </c>
      <c r="M230" s="69">
        <v>-54630</v>
      </c>
      <c r="N230" s="54"/>
      <c r="O230" s="69">
        <v>-182174</v>
      </c>
      <c r="P230" s="69">
        <v>-182174</v>
      </c>
      <c r="Q230" s="69">
        <v>-182174</v>
      </c>
      <c r="R230" s="69">
        <v>-158492</v>
      </c>
      <c r="S230" s="69"/>
      <c r="T230" s="69">
        <v>-320889</v>
      </c>
      <c r="U230" s="69">
        <v>-320889</v>
      </c>
      <c r="V230" s="69">
        <v>-285590</v>
      </c>
      <c r="W230" s="54"/>
      <c r="X230" s="69">
        <v>-185304</v>
      </c>
      <c r="Y230" s="69">
        <v>-181597</v>
      </c>
      <c r="Z230" s="54"/>
      <c r="AA230" s="108">
        <v>-286282</v>
      </c>
      <c r="AB230" s="54"/>
      <c r="AC230" s="108">
        <f>VLOOKUP(A230,'Change in Proportion Calc'!$A$5:$H$311,8,FALSE)+SUMIF($C$5:$AB$5,2026,C230:AB230)</f>
        <v>-969435</v>
      </c>
      <c r="AE230" s="107">
        <f t="shared" si="16"/>
        <v>305074</v>
      </c>
      <c r="AF230" s="107">
        <f t="shared" si="17"/>
        <v>1541775</v>
      </c>
      <c r="AH230" s="107"/>
      <c r="AI230" s="108"/>
      <c r="AJ230" s="108"/>
      <c r="AK230" s="213">
        <f t="shared" si="15"/>
        <v>3260</v>
      </c>
      <c r="AL230" s="107">
        <f t="shared" si="18"/>
        <v>-679446</v>
      </c>
      <c r="AM230" s="107">
        <f t="shared" si="18"/>
        <v>-462550</v>
      </c>
      <c r="AN230" s="107">
        <f t="shared" si="18"/>
        <v>-153278</v>
      </c>
      <c r="AO230" s="107">
        <f t="shared" si="18"/>
        <v>9327</v>
      </c>
      <c r="AP230" s="107">
        <f t="shared" si="18"/>
        <v>49246</v>
      </c>
    </row>
    <row r="231" spans="1:42">
      <c r="A231" s="51">
        <v>4390</v>
      </c>
      <c r="B231" s="55" t="s">
        <v>217</v>
      </c>
      <c r="C231" s="234">
        <f>_xlfn.XLOOKUP($A231,'Change in Proportion Calc'!$A$5:$A$311,'Change in Proportion Calc'!L$5:L$311,"n",0,1)</f>
        <v>3622</v>
      </c>
      <c r="D231" s="234">
        <f>_xlfn.XLOOKUP($A231,'Change in Proportion Calc'!$A$5:$A$311,'Change in Proportion Calc'!M$5:M$311,"n",0,1)</f>
        <v>3622</v>
      </c>
      <c r="E231" s="234">
        <f>_xlfn.XLOOKUP($A231,'Change in Proportion Calc'!$A$5:$A$311,'Change in Proportion Calc'!N$5:N$311,"n",0,1)</f>
        <v>3622</v>
      </c>
      <c r="F231" s="234">
        <f>_xlfn.XLOOKUP($A231,'Change in Proportion Calc'!$A$5:$A$311,'Change in Proportion Calc'!O$5:O$311,"n",0,1)</f>
        <v>3622</v>
      </c>
      <c r="G231" s="234">
        <f>_xlfn.XLOOKUP($A231,'Change in Proportion Calc'!$A$5:$A$311,'Change in Proportion Calc'!P$5:P$311,"n",0,1)</f>
        <v>2787</v>
      </c>
      <c r="H231" s="54"/>
      <c r="I231" s="69">
        <v>6689</v>
      </c>
      <c r="J231" s="69">
        <v>6689</v>
      </c>
      <c r="K231" s="69">
        <v>6689</v>
      </c>
      <c r="L231" s="69">
        <v>6689</v>
      </c>
      <c r="M231" s="69">
        <v>6218</v>
      </c>
      <c r="N231" s="54"/>
      <c r="O231" s="69">
        <v>-9344</v>
      </c>
      <c r="P231" s="69">
        <v>-9344</v>
      </c>
      <c r="Q231" s="69">
        <v>-9344</v>
      </c>
      <c r="R231" s="69">
        <v>-8131</v>
      </c>
      <c r="S231" s="69"/>
      <c r="T231" s="69">
        <v>-2159</v>
      </c>
      <c r="U231" s="69">
        <v>-2159</v>
      </c>
      <c r="V231" s="69">
        <v>-1922</v>
      </c>
      <c r="W231" s="54"/>
      <c r="X231" s="69">
        <v>3888</v>
      </c>
      <c r="Y231" s="69">
        <v>3808</v>
      </c>
      <c r="Z231" s="54"/>
      <c r="AA231" s="108">
        <v>1513</v>
      </c>
      <c r="AB231" s="54"/>
      <c r="AC231" s="108">
        <f>VLOOKUP(A231,'Change in Proportion Calc'!$A$5:$H$311,8,FALSE)+SUMIF($C$5:$AB$5,2026,C231:AB231)</f>
        <v>4209</v>
      </c>
      <c r="AE231" s="107">
        <f t="shared" si="16"/>
        <v>47368</v>
      </c>
      <c r="AF231" s="107">
        <f t="shared" si="17"/>
        <v>30900</v>
      </c>
      <c r="AH231" s="107"/>
      <c r="AI231" s="108"/>
      <c r="AJ231" s="108"/>
      <c r="AK231" s="213">
        <f t="shared" si="15"/>
        <v>4390</v>
      </c>
      <c r="AL231" s="107">
        <f t="shared" si="18"/>
        <v>2616</v>
      </c>
      <c r="AM231" s="107">
        <f t="shared" si="18"/>
        <v>-955</v>
      </c>
      <c r="AN231" s="107">
        <f t="shared" si="18"/>
        <v>2180</v>
      </c>
      <c r="AO231" s="107">
        <f t="shared" si="18"/>
        <v>9840</v>
      </c>
      <c r="AP231" s="107">
        <f t="shared" si="18"/>
        <v>2787</v>
      </c>
    </row>
    <row r="232" spans="1:42">
      <c r="A232" s="53">
        <v>3270</v>
      </c>
      <c r="B232" s="54" t="s">
        <v>218</v>
      </c>
      <c r="C232" s="234">
        <f>_xlfn.XLOOKUP($A232,'Change in Proportion Calc'!$A$5:$A$311,'Change in Proportion Calc'!L$5:L$311,"n",0,1)</f>
        <v>11271</v>
      </c>
      <c r="D232" s="234">
        <f>_xlfn.XLOOKUP($A232,'Change in Proportion Calc'!$A$5:$A$311,'Change in Proportion Calc'!M$5:M$311,"n",0,1)</f>
        <v>11271</v>
      </c>
      <c r="E232" s="234">
        <f>_xlfn.XLOOKUP($A232,'Change in Proportion Calc'!$A$5:$A$311,'Change in Proportion Calc'!N$5:N$311,"n",0,1)</f>
        <v>11271</v>
      </c>
      <c r="F232" s="234">
        <f>_xlfn.XLOOKUP($A232,'Change in Proportion Calc'!$A$5:$A$311,'Change in Proportion Calc'!O$5:O$311,"n",0,1)</f>
        <v>11271</v>
      </c>
      <c r="G232" s="234">
        <f>_xlfn.XLOOKUP($A232,'Change in Proportion Calc'!$A$5:$A$311,'Change in Proportion Calc'!P$5:P$311,"n",0,1)</f>
        <v>8679</v>
      </c>
      <c r="H232" s="54"/>
      <c r="I232" s="69">
        <v>-49474</v>
      </c>
      <c r="J232" s="69">
        <v>-49474</v>
      </c>
      <c r="K232" s="69">
        <v>-49474</v>
      </c>
      <c r="L232" s="69">
        <v>-49474</v>
      </c>
      <c r="M232" s="69">
        <v>-46013</v>
      </c>
      <c r="N232" s="54"/>
      <c r="O232" s="69">
        <v>41613</v>
      </c>
      <c r="P232" s="69">
        <v>41613</v>
      </c>
      <c r="Q232" s="69">
        <v>41613</v>
      </c>
      <c r="R232" s="69">
        <v>36201</v>
      </c>
      <c r="S232" s="69"/>
      <c r="T232" s="69">
        <v>-32156</v>
      </c>
      <c r="U232" s="69">
        <v>-32156</v>
      </c>
      <c r="V232" s="69">
        <v>-28621</v>
      </c>
      <c r="W232" s="54"/>
      <c r="X232" s="69">
        <v>-31343</v>
      </c>
      <c r="Y232" s="69">
        <v>-30716</v>
      </c>
      <c r="Z232" s="54"/>
      <c r="AA232" s="108">
        <v>-29370</v>
      </c>
      <c r="AB232" s="54"/>
      <c r="AC232" s="108">
        <f>VLOOKUP(A232,'Change in Proportion Calc'!$A$5:$H$311,8,FALSE)+SUMIF($C$5:$AB$5,2026,C232:AB232)</f>
        <v>-89459</v>
      </c>
      <c r="AE232" s="107">
        <f t="shared" si="16"/>
        <v>173190</v>
      </c>
      <c r="AF232" s="107">
        <f t="shared" si="17"/>
        <v>285928</v>
      </c>
      <c r="AH232" s="107"/>
      <c r="AI232" s="108"/>
      <c r="AJ232" s="108"/>
      <c r="AK232" s="213">
        <f t="shared" si="15"/>
        <v>3270</v>
      </c>
      <c r="AL232" s="107">
        <f t="shared" si="18"/>
        <v>-59462</v>
      </c>
      <c r="AM232" s="107">
        <f t="shared" si="18"/>
        <v>-25211</v>
      </c>
      <c r="AN232" s="107">
        <f t="shared" si="18"/>
        <v>-2002</v>
      </c>
      <c r="AO232" s="107">
        <f t="shared" si="18"/>
        <v>-34742</v>
      </c>
      <c r="AP232" s="107">
        <f t="shared" si="18"/>
        <v>8679</v>
      </c>
    </row>
    <row r="233" spans="1:42">
      <c r="A233" s="51">
        <v>29303</v>
      </c>
      <c r="B233" s="55" t="s">
        <v>219</v>
      </c>
      <c r="C233" s="234">
        <f>_xlfn.XLOOKUP($A233,'Change in Proportion Calc'!$A$5:$A$311,'Change in Proportion Calc'!L$5:L$311,"n",0,1)</f>
        <v>-22281</v>
      </c>
      <c r="D233" s="234">
        <f>_xlfn.XLOOKUP($A233,'Change in Proportion Calc'!$A$5:$A$311,'Change in Proportion Calc'!M$5:M$311,"n",0,1)</f>
        <v>-22281</v>
      </c>
      <c r="E233" s="234">
        <f>_xlfn.XLOOKUP($A233,'Change in Proportion Calc'!$A$5:$A$311,'Change in Proportion Calc'!N$5:N$311,"n",0,1)</f>
        <v>-22281</v>
      </c>
      <c r="F233" s="234">
        <f>_xlfn.XLOOKUP($A233,'Change in Proportion Calc'!$A$5:$A$311,'Change in Proportion Calc'!O$5:O$311,"n",0,1)</f>
        <v>-22281</v>
      </c>
      <c r="G233" s="234">
        <f>_xlfn.XLOOKUP($A233,'Change in Proportion Calc'!$A$5:$A$311,'Change in Proportion Calc'!P$5:P$311,"n",0,1)</f>
        <v>-17157</v>
      </c>
      <c r="H233" s="54"/>
      <c r="I233" s="69">
        <v>1193</v>
      </c>
      <c r="J233" s="69">
        <v>1193</v>
      </c>
      <c r="K233" s="69">
        <v>1193</v>
      </c>
      <c r="L233" s="69">
        <v>1193</v>
      </c>
      <c r="M233" s="69">
        <v>1109</v>
      </c>
      <c r="N233" s="54"/>
      <c r="O233" s="69">
        <v>15650</v>
      </c>
      <c r="P233" s="69">
        <v>15650</v>
      </c>
      <c r="Q233" s="69">
        <v>15650</v>
      </c>
      <c r="R233" s="69">
        <v>13617</v>
      </c>
      <c r="S233" s="69"/>
      <c r="T233" s="69">
        <v>39776</v>
      </c>
      <c r="U233" s="69">
        <v>39776</v>
      </c>
      <c r="V233" s="69">
        <v>35401</v>
      </c>
      <c r="W233" s="54"/>
      <c r="X233" s="69">
        <v>22191</v>
      </c>
      <c r="Y233" s="69">
        <v>21748</v>
      </c>
      <c r="Z233" s="54"/>
      <c r="AA233" s="108">
        <v>57896</v>
      </c>
      <c r="AB233" s="54"/>
      <c r="AC233" s="108">
        <f>VLOOKUP(A233,'Change in Proportion Calc'!$A$5:$H$311,8,FALSE)+SUMIF($C$5:$AB$5,2026,C233:AB233)</f>
        <v>114425</v>
      </c>
      <c r="AE233" s="107">
        <f t="shared" si="16"/>
        <v>146530</v>
      </c>
      <c r="AF233" s="107">
        <f t="shared" si="17"/>
        <v>106281</v>
      </c>
      <c r="AH233" s="107"/>
      <c r="AI233" s="108"/>
      <c r="AJ233" s="108"/>
      <c r="AK233" s="213">
        <f t="shared" si="15"/>
        <v>29303</v>
      </c>
      <c r="AL233" s="107">
        <f t="shared" si="18"/>
        <v>56086</v>
      </c>
      <c r="AM233" s="107">
        <f t="shared" si="18"/>
        <v>29963</v>
      </c>
      <c r="AN233" s="107">
        <f t="shared" si="18"/>
        <v>-7471</v>
      </c>
      <c r="AO233" s="107">
        <f t="shared" si="18"/>
        <v>-21172</v>
      </c>
      <c r="AP233" s="107">
        <f t="shared" si="18"/>
        <v>-17157</v>
      </c>
    </row>
    <row r="234" spans="1:42">
      <c r="A234" s="53">
        <v>3280</v>
      </c>
      <c r="B234" s="54" t="s">
        <v>220</v>
      </c>
      <c r="C234" s="234">
        <f>_xlfn.XLOOKUP($A234,'Change in Proportion Calc'!$A$5:$A$311,'Change in Proportion Calc'!L$5:L$311,"n",0,1)</f>
        <v>96807</v>
      </c>
      <c r="D234" s="234">
        <f>_xlfn.XLOOKUP($A234,'Change in Proportion Calc'!$A$5:$A$311,'Change in Proportion Calc'!M$5:M$311,"n",0,1)</f>
        <v>96807</v>
      </c>
      <c r="E234" s="234">
        <f>_xlfn.XLOOKUP($A234,'Change in Proportion Calc'!$A$5:$A$311,'Change in Proportion Calc'!N$5:N$311,"n",0,1)</f>
        <v>96807</v>
      </c>
      <c r="F234" s="234">
        <f>_xlfn.XLOOKUP($A234,'Change in Proportion Calc'!$A$5:$A$311,'Change in Proportion Calc'!O$5:O$311,"n",0,1)</f>
        <v>96807</v>
      </c>
      <c r="G234" s="234">
        <f>_xlfn.XLOOKUP($A234,'Change in Proportion Calc'!$A$5:$A$311,'Change in Proportion Calc'!P$5:P$311,"n",0,1)</f>
        <v>74540</v>
      </c>
      <c r="H234" s="54"/>
      <c r="I234" s="69">
        <v>40342</v>
      </c>
      <c r="J234" s="69">
        <v>40342</v>
      </c>
      <c r="K234" s="69">
        <v>40342</v>
      </c>
      <c r="L234" s="69">
        <v>40342</v>
      </c>
      <c r="M234" s="69">
        <v>37521</v>
      </c>
      <c r="N234" s="54"/>
      <c r="O234" s="69">
        <v>-145008</v>
      </c>
      <c r="P234" s="69">
        <v>-145008</v>
      </c>
      <c r="Q234" s="69">
        <v>-145008</v>
      </c>
      <c r="R234" s="69">
        <v>-126158</v>
      </c>
      <c r="S234" s="69"/>
      <c r="T234" s="69">
        <v>-75384</v>
      </c>
      <c r="U234" s="69">
        <v>-75384</v>
      </c>
      <c r="V234" s="69">
        <v>-67090</v>
      </c>
      <c r="W234" s="54"/>
      <c r="X234" s="69">
        <v>176800</v>
      </c>
      <c r="Y234" s="69">
        <v>173264</v>
      </c>
      <c r="Z234" s="54"/>
      <c r="AA234" s="108">
        <v>-177898</v>
      </c>
      <c r="AB234" s="54"/>
      <c r="AC234" s="108">
        <f>VLOOKUP(A234,'Change in Proportion Calc'!$A$5:$H$311,8,FALSE)+SUMIF($C$5:$AB$5,2026,C234:AB234)</f>
        <v>-84341</v>
      </c>
      <c r="AE234" s="107">
        <f t="shared" si="16"/>
        <v>793579</v>
      </c>
      <c r="AF234" s="107">
        <f t="shared" si="17"/>
        <v>558648</v>
      </c>
      <c r="AH234" s="107"/>
      <c r="AI234" s="108"/>
      <c r="AJ234" s="108"/>
      <c r="AK234" s="213">
        <f t="shared" si="15"/>
        <v>3280</v>
      </c>
      <c r="AL234" s="107">
        <f t="shared" si="18"/>
        <v>90021</v>
      </c>
      <c r="AM234" s="107">
        <f t="shared" si="18"/>
        <v>-74949</v>
      </c>
      <c r="AN234" s="107">
        <f t="shared" si="18"/>
        <v>10991</v>
      </c>
      <c r="AO234" s="107">
        <f t="shared" si="18"/>
        <v>134328</v>
      </c>
      <c r="AP234" s="107">
        <f t="shared" si="18"/>
        <v>74540</v>
      </c>
    </row>
    <row r="235" spans="1:42">
      <c r="A235" s="51">
        <v>4260</v>
      </c>
      <c r="B235" s="55" t="s">
        <v>221</v>
      </c>
      <c r="C235" s="234">
        <f>_xlfn.XLOOKUP($A235,'Change in Proportion Calc'!$A$5:$A$311,'Change in Proportion Calc'!L$5:L$311,"n",0,1)</f>
        <v>-2008</v>
      </c>
      <c r="D235" s="234">
        <f>_xlfn.XLOOKUP($A235,'Change in Proportion Calc'!$A$5:$A$311,'Change in Proportion Calc'!M$5:M$311,"n",0,1)</f>
        <v>-2008</v>
      </c>
      <c r="E235" s="234">
        <f>_xlfn.XLOOKUP($A235,'Change in Proportion Calc'!$A$5:$A$311,'Change in Proportion Calc'!N$5:N$311,"n",0,1)</f>
        <v>-2008</v>
      </c>
      <c r="F235" s="234">
        <f>_xlfn.XLOOKUP($A235,'Change in Proportion Calc'!$A$5:$A$311,'Change in Proportion Calc'!O$5:O$311,"n",0,1)</f>
        <v>-2008</v>
      </c>
      <c r="G235" s="234">
        <f>_xlfn.XLOOKUP($A235,'Change in Proportion Calc'!$A$5:$A$311,'Change in Proportion Calc'!P$5:P$311,"n",0,1)</f>
        <v>-1547</v>
      </c>
      <c r="H235" s="54"/>
      <c r="I235" s="69">
        <v>4859</v>
      </c>
      <c r="J235" s="69">
        <v>4859</v>
      </c>
      <c r="K235" s="69">
        <v>4859</v>
      </c>
      <c r="L235" s="69">
        <v>4859</v>
      </c>
      <c r="M235" s="69">
        <v>4520</v>
      </c>
      <c r="N235" s="54"/>
      <c r="O235" s="69">
        <v>-33761</v>
      </c>
      <c r="P235" s="69">
        <v>-33761</v>
      </c>
      <c r="Q235" s="69">
        <v>-33761</v>
      </c>
      <c r="R235" s="69">
        <v>-29373</v>
      </c>
      <c r="S235" s="69"/>
      <c r="T235" s="69">
        <v>31084</v>
      </c>
      <c r="U235" s="69">
        <v>31084</v>
      </c>
      <c r="V235" s="69">
        <v>27667</v>
      </c>
      <c r="W235" s="54"/>
      <c r="X235" s="69">
        <v>-13930</v>
      </c>
      <c r="Y235" s="69">
        <v>-13653</v>
      </c>
      <c r="Z235" s="54"/>
      <c r="AA235" s="108">
        <v>-5890</v>
      </c>
      <c r="AB235" s="54"/>
      <c r="AC235" s="108">
        <f>VLOOKUP(A235,'Change in Proportion Calc'!$A$5:$H$311,8,FALSE)+SUMIF($C$5:$AB$5,2026,C235:AB235)</f>
        <v>-19646</v>
      </c>
      <c r="AE235" s="107">
        <f t="shared" si="16"/>
        <v>77848</v>
      </c>
      <c r="AF235" s="107">
        <f t="shared" si="17"/>
        <v>120127</v>
      </c>
      <c r="AH235" s="107"/>
      <c r="AI235" s="108"/>
      <c r="AJ235" s="108"/>
      <c r="AK235" s="213">
        <f t="shared" si="15"/>
        <v>4260</v>
      </c>
      <c r="AL235" s="107">
        <f t="shared" si="18"/>
        <v>-13479</v>
      </c>
      <c r="AM235" s="107">
        <f t="shared" si="18"/>
        <v>-3243</v>
      </c>
      <c r="AN235" s="107">
        <f t="shared" si="18"/>
        <v>-26522</v>
      </c>
      <c r="AO235" s="107">
        <f t="shared" si="18"/>
        <v>2512</v>
      </c>
      <c r="AP235" s="107">
        <f t="shared" si="18"/>
        <v>-1547</v>
      </c>
    </row>
    <row r="236" spans="1:42">
      <c r="A236" s="53">
        <v>1003</v>
      </c>
      <c r="B236" s="54" t="s">
        <v>222</v>
      </c>
      <c r="C236" s="234">
        <f>_xlfn.XLOOKUP($A236,'Change in Proportion Calc'!$A$5:$A$311,'Change in Proportion Calc'!L$5:L$311,"n",0,1)</f>
        <v>59039</v>
      </c>
      <c r="D236" s="234">
        <f>_xlfn.XLOOKUP($A236,'Change in Proportion Calc'!$A$5:$A$311,'Change in Proportion Calc'!M$5:M$311,"n",0,1)</f>
        <v>59039</v>
      </c>
      <c r="E236" s="234">
        <f>_xlfn.XLOOKUP($A236,'Change in Proportion Calc'!$A$5:$A$311,'Change in Proportion Calc'!N$5:N$311,"n",0,1)</f>
        <v>59039</v>
      </c>
      <c r="F236" s="234">
        <f>_xlfn.XLOOKUP($A236,'Change in Proportion Calc'!$A$5:$A$311,'Change in Proportion Calc'!O$5:O$311,"n",0,1)</f>
        <v>59039</v>
      </c>
      <c r="G236" s="234">
        <f>_xlfn.XLOOKUP($A236,'Change in Proportion Calc'!$A$5:$A$311,'Change in Proportion Calc'!P$5:P$311,"n",0,1)</f>
        <v>45461</v>
      </c>
      <c r="H236" s="54"/>
      <c r="I236" s="69">
        <v>52096</v>
      </c>
      <c r="J236" s="69">
        <v>52096</v>
      </c>
      <c r="K236" s="69">
        <v>52096</v>
      </c>
      <c r="L236" s="69">
        <v>52096</v>
      </c>
      <c r="M236" s="69">
        <v>48450</v>
      </c>
      <c r="N236" s="54"/>
      <c r="O236" s="69">
        <v>84715</v>
      </c>
      <c r="P236" s="69">
        <v>84715</v>
      </c>
      <c r="Q236" s="69">
        <v>84715</v>
      </c>
      <c r="R236" s="69">
        <v>73704</v>
      </c>
      <c r="S236" s="69"/>
      <c r="T236" s="69">
        <v>-103353</v>
      </c>
      <c r="U236" s="69">
        <v>-103353</v>
      </c>
      <c r="V236" s="69">
        <v>-91982</v>
      </c>
      <c r="W236" s="54"/>
      <c r="X236" s="69">
        <v>-295854</v>
      </c>
      <c r="Y236" s="69">
        <v>-289939</v>
      </c>
      <c r="Z236" s="54"/>
      <c r="AA236" s="108">
        <v>-170240</v>
      </c>
      <c r="AB236" s="54"/>
      <c r="AC236" s="108">
        <f>VLOOKUP(A236,'Change in Proportion Calc'!$A$5:$H$311,8,FALSE)+SUMIF($C$5:$AB$5,2026,C236:AB236)</f>
        <v>-373597</v>
      </c>
      <c r="AE236" s="107">
        <f t="shared" si="16"/>
        <v>729489</v>
      </c>
      <c r="AF236" s="107">
        <f t="shared" si="17"/>
        <v>485274</v>
      </c>
      <c r="AH236" s="107"/>
      <c r="AI236" s="108"/>
      <c r="AJ236" s="108"/>
      <c r="AK236" s="213">
        <f t="shared" si="15"/>
        <v>1003</v>
      </c>
      <c r="AL236" s="107">
        <f t="shared" si="18"/>
        <v>-197442</v>
      </c>
      <c r="AM236" s="107">
        <f t="shared" si="18"/>
        <v>103868</v>
      </c>
      <c r="AN236" s="107">
        <f t="shared" si="18"/>
        <v>184839</v>
      </c>
      <c r="AO236" s="107">
        <f t="shared" si="18"/>
        <v>107489</v>
      </c>
      <c r="AP236" s="107">
        <f t="shared" si="18"/>
        <v>45461</v>
      </c>
    </row>
    <row r="237" spans="1:42">
      <c r="A237" s="51">
        <v>3290</v>
      </c>
      <c r="B237" s="55" t="s">
        <v>223</v>
      </c>
      <c r="C237" s="234">
        <f>_xlfn.XLOOKUP($A237,'Change in Proportion Calc'!$A$5:$A$311,'Change in Proportion Calc'!L$5:L$311,"n",0,1)</f>
        <v>291592</v>
      </c>
      <c r="D237" s="234">
        <f>_xlfn.XLOOKUP($A237,'Change in Proportion Calc'!$A$5:$A$311,'Change in Proportion Calc'!M$5:M$311,"n",0,1)</f>
        <v>291592</v>
      </c>
      <c r="E237" s="234">
        <f>_xlfn.XLOOKUP($A237,'Change in Proportion Calc'!$A$5:$A$311,'Change in Proportion Calc'!N$5:N$311,"n",0,1)</f>
        <v>291592</v>
      </c>
      <c r="F237" s="234">
        <f>_xlfn.XLOOKUP($A237,'Change in Proportion Calc'!$A$5:$A$311,'Change in Proportion Calc'!O$5:O$311,"n",0,1)</f>
        <v>291592</v>
      </c>
      <c r="G237" s="234">
        <f>_xlfn.XLOOKUP($A237,'Change in Proportion Calc'!$A$5:$A$311,'Change in Proportion Calc'!P$5:P$311,"n",0,1)</f>
        <v>224523</v>
      </c>
      <c r="H237" s="54"/>
      <c r="I237" s="69">
        <v>491201</v>
      </c>
      <c r="J237" s="69">
        <v>491201</v>
      </c>
      <c r="K237" s="69">
        <v>491201</v>
      </c>
      <c r="L237" s="69">
        <v>491201</v>
      </c>
      <c r="M237" s="69">
        <v>456815</v>
      </c>
      <c r="N237" s="54"/>
      <c r="O237" s="69">
        <v>-387130</v>
      </c>
      <c r="P237" s="69">
        <v>-387130</v>
      </c>
      <c r="Q237" s="69">
        <v>-387130</v>
      </c>
      <c r="R237" s="69">
        <v>-336801</v>
      </c>
      <c r="S237" s="69"/>
      <c r="T237" s="69">
        <v>-393002</v>
      </c>
      <c r="U237" s="69">
        <v>-393002</v>
      </c>
      <c r="V237" s="69">
        <v>-349770</v>
      </c>
      <c r="W237" s="54"/>
      <c r="X237" s="69">
        <v>-260948</v>
      </c>
      <c r="Y237" s="69">
        <v>-255729</v>
      </c>
      <c r="Z237" s="54"/>
      <c r="AA237" s="108">
        <v>-677255</v>
      </c>
      <c r="AB237" s="54"/>
      <c r="AC237" s="108">
        <f>VLOOKUP(A237,'Change in Proportion Calc'!$A$5:$H$311,8,FALSE)+SUMIF($C$5:$AB$5,2026,C237:AB237)</f>
        <v>-935542</v>
      </c>
      <c r="AE237" s="107">
        <f t="shared" si="16"/>
        <v>3321309</v>
      </c>
      <c r="AF237" s="107">
        <f t="shared" si="17"/>
        <v>2109562</v>
      </c>
      <c r="AH237" s="107"/>
      <c r="AI237" s="108"/>
      <c r="AJ237" s="108"/>
      <c r="AK237" s="213">
        <f t="shared" si="15"/>
        <v>3290</v>
      </c>
      <c r="AL237" s="107">
        <f t="shared" si="18"/>
        <v>-253068</v>
      </c>
      <c r="AM237" s="107">
        <f t="shared" si="18"/>
        <v>45893</v>
      </c>
      <c r="AN237" s="107">
        <f t="shared" si="18"/>
        <v>445992</v>
      </c>
      <c r="AO237" s="107">
        <f t="shared" si="18"/>
        <v>748407</v>
      </c>
      <c r="AP237" s="107">
        <f t="shared" si="18"/>
        <v>224523</v>
      </c>
    </row>
    <row r="238" spans="1:42">
      <c r="A238" s="53">
        <v>1002</v>
      </c>
      <c r="B238" s="54" t="s">
        <v>224</v>
      </c>
      <c r="C238" s="234">
        <f>_xlfn.XLOOKUP($A238,'Change in Proportion Calc'!$A$5:$A$311,'Change in Proportion Calc'!L$5:L$311,"n",0,1)</f>
        <v>-757345</v>
      </c>
      <c r="D238" s="234">
        <f>_xlfn.XLOOKUP($A238,'Change in Proportion Calc'!$A$5:$A$311,'Change in Proportion Calc'!M$5:M$311,"n",0,1)</f>
        <v>-757345</v>
      </c>
      <c r="E238" s="234">
        <f>_xlfn.XLOOKUP($A238,'Change in Proportion Calc'!$A$5:$A$311,'Change in Proportion Calc'!N$5:N$311,"n",0,1)</f>
        <v>-757345</v>
      </c>
      <c r="F238" s="234">
        <f>_xlfn.XLOOKUP($A238,'Change in Proportion Calc'!$A$5:$A$311,'Change in Proportion Calc'!O$5:O$311,"n",0,1)</f>
        <v>-757345</v>
      </c>
      <c r="G238" s="234">
        <f>_xlfn.XLOOKUP($A238,'Change in Proportion Calc'!$A$5:$A$311,'Change in Proportion Calc'!P$5:P$311,"n",0,1)</f>
        <v>-583153</v>
      </c>
      <c r="H238" s="54"/>
      <c r="I238" s="69">
        <v>-397167</v>
      </c>
      <c r="J238" s="69">
        <v>-397167</v>
      </c>
      <c r="K238" s="69">
        <v>-397167</v>
      </c>
      <c r="L238" s="69">
        <v>-397167</v>
      </c>
      <c r="M238" s="69">
        <v>-369363</v>
      </c>
      <c r="N238" s="54"/>
      <c r="O238" s="69">
        <v>-188147</v>
      </c>
      <c r="P238" s="69">
        <v>-188147</v>
      </c>
      <c r="Q238" s="69">
        <v>-188147</v>
      </c>
      <c r="R238" s="69">
        <v>-163690</v>
      </c>
      <c r="S238" s="69"/>
      <c r="T238" s="69">
        <v>-193253</v>
      </c>
      <c r="U238" s="69">
        <v>-193253</v>
      </c>
      <c r="V238" s="69">
        <v>-171995</v>
      </c>
      <c r="W238" s="54"/>
      <c r="X238" s="69">
        <v>-361213</v>
      </c>
      <c r="Y238" s="69">
        <v>-353989</v>
      </c>
      <c r="Z238" s="54"/>
      <c r="AA238" s="108">
        <v>495904</v>
      </c>
      <c r="AB238" s="54"/>
      <c r="AC238" s="108">
        <f>VLOOKUP(A238,'Change in Proportion Calc'!$A$5:$H$311,8,FALSE)+SUMIF($C$5:$AB$5,2026,C238:AB238)</f>
        <v>-1401221</v>
      </c>
      <c r="AE238" s="107">
        <f t="shared" si="16"/>
        <v>0</v>
      </c>
      <c r="AF238" s="107">
        <f t="shared" si="17"/>
        <v>6432618</v>
      </c>
      <c r="AH238" s="107"/>
      <c r="AI238" s="108"/>
      <c r="AJ238" s="108"/>
      <c r="AK238" s="213">
        <f t="shared" si="15"/>
        <v>1002</v>
      </c>
      <c r="AL238" s="107">
        <f t="shared" si="18"/>
        <v>-1889901</v>
      </c>
      <c r="AM238" s="107">
        <f t="shared" si="18"/>
        <v>-1514654</v>
      </c>
      <c r="AN238" s="107">
        <f t="shared" si="18"/>
        <v>-1318202</v>
      </c>
      <c r="AO238" s="107">
        <f t="shared" si="18"/>
        <v>-1126708</v>
      </c>
      <c r="AP238" s="107">
        <f t="shared" si="18"/>
        <v>-583153</v>
      </c>
    </row>
    <row r="239" spans="1:42">
      <c r="A239" s="53">
        <v>4270</v>
      </c>
      <c r="B239" s="54" t="s">
        <v>413</v>
      </c>
      <c r="C239" s="234">
        <f>_xlfn.XLOOKUP($A239,'Change in Proportion Calc'!$A$5:$A$311,'Change in Proportion Calc'!L$5:L$311,"n",0,1)</f>
        <v>3817</v>
      </c>
      <c r="D239" s="234">
        <f>_xlfn.XLOOKUP($A239,'Change in Proportion Calc'!$A$5:$A$311,'Change in Proportion Calc'!M$5:M$311,"n",0,1)</f>
        <v>3817</v>
      </c>
      <c r="E239" s="234">
        <f>_xlfn.XLOOKUP($A239,'Change in Proportion Calc'!$A$5:$A$311,'Change in Proportion Calc'!N$5:N$311,"n",0,1)</f>
        <v>3817</v>
      </c>
      <c r="F239" s="234">
        <f>_xlfn.XLOOKUP($A239,'Change in Proportion Calc'!$A$5:$A$311,'Change in Proportion Calc'!O$5:O$311,"n",0,1)</f>
        <v>3817</v>
      </c>
      <c r="G239" s="234">
        <f>_xlfn.XLOOKUP($A239,'Change in Proportion Calc'!$A$5:$A$311,'Change in Proportion Calc'!P$5:P$311,"n",0,1)</f>
        <v>2938</v>
      </c>
      <c r="H239" s="54"/>
      <c r="I239" s="69">
        <v>2143</v>
      </c>
      <c r="J239" s="69">
        <v>2143</v>
      </c>
      <c r="K239" s="69">
        <v>2143</v>
      </c>
      <c r="L239" s="69">
        <v>2143</v>
      </c>
      <c r="M239" s="69">
        <v>1993</v>
      </c>
      <c r="N239" s="54"/>
      <c r="O239" s="69">
        <v>-24036</v>
      </c>
      <c r="P239" s="69">
        <v>-24036</v>
      </c>
      <c r="Q239" s="69">
        <v>-24036</v>
      </c>
      <c r="R239" s="69">
        <v>-20911</v>
      </c>
      <c r="S239" s="69"/>
      <c r="T239" s="69">
        <v>-4939</v>
      </c>
      <c r="U239" s="69">
        <v>-4939</v>
      </c>
      <c r="V239" s="69">
        <v>-4398</v>
      </c>
      <c r="W239" s="54"/>
      <c r="X239" s="69">
        <v>306464</v>
      </c>
      <c r="Y239" s="69">
        <v>300335</v>
      </c>
      <c r="Z239" s="54"/>
      <c r="AA239" s="107">
        <v>0</v>
      </c>
      <c r="AB239" s="54"/>
      <c r="AC239" s="108">
        <f>VLOOKUP(A239,'Change in Proportion Calc'!$A$5:$H$311,8,FALSE)+SUMIF($C$5:$AB$5,2026,C239:AB239)</f>
        <v>283449</v>
      </c>
      <c r="AE239" s="107">
        <f t="shared" si="16"/>
        <v>326963</v>
      </c>
      <c r="AF239" s="107">
        <f t="shared" si="17"/>
        <v>78320</v>
      </c>
      <c r="AH239" s="107"/>
      <c r="AI239" s="108"/>
      <c r="AJ239" s="108"/>
      <c r="AK239" s="213">
        <f t="shared" si="15"/>
        <v>4270</v>
      </c>
      <c r="AL239" s="107">
        <f t="shared" si="18"/>
        <v>277320</v>
      </c>
      <c r="AM239" s="107">
        <f t="shared" si="18"/>
        <v>-22474</v>
      </c>
      <c r="AN239" s="107">
        <f t="shared" si="18"/>
        <v>-14951</v>
      </c>
      <c r="AO239" s="107">
        <f t="shared" si="18"/>
        <v>5810</v>
      </c>
      <c r="AP239" s="107">
        <f t="shared" si="18"/>
        <v>2938</v>
      </c>
    </row>
    <row r="240" spans="1:42">
      <c r="A240" s="51">
        <v>24072</v>
      </c>
      <c r="B240" s="55" t="s">
        <v>225</v>
      </c>
      <c r="C240" s="234">
        <f>_xlfn.XLOOKUP($A240,'Change in Proportion Calc'!$A$5:$A$311,'Change in Proportion Calc'!L$5:L$311,"n",0,1)</f>
        <v>-36567</v>
      </c>
      <c r="D240" s="234">
        <f>_xlfn.XLOOKUP($A240,'Change in Proportion Calc'!$A$5:$A$311,'Change in Proportion Calc'!M$5:M$311,"n",0,1)</f>
        <v>-36567</v>
      </c>
      <c r="E240" s="234">
        <f>_xlfn.XLOOKUP($A240,'Change in Proportion Calc'!$A$5:$A$311,'Change in Proportion Calc'!N$5:N$311,"n",0,1)</f>
        <v>-36567</v>
      </c>
      <c r="F240" s="234">
        <f>_xlfn.XLOOKUP($A240,'Change in Proportion Calc'!$A$5:$A$311,'Change in Proportion Calc'!O$5:O$311,"n",0,1)</f>
        <v>-36567</v>
      </c>
      <c r="G240" s="234">
        <f>_xlfn.XLOOKUP($A240,'Change in Proportion Calc'!$A$5:$A$311,'Change in Proportion Calc'!P$5:P$311,"n",0,1)</f>
        <v>-28158</v>
      </c>
      <c r="H240" s="54"/>
      <c r="I240" s="69">
        <v>-14911</v>
      </c>
      <c r="J240" s="69">
        <v>-14911</v>
      </c>
      <c r="K240" s="69">
        <v>-14911</v>
      </c>
      <c r="L240" s="69">
        <v>-14911</v>
      </c>
      <c r="M240" s="69">
        <v>-13867</v>
      </c>
      <c r="N240" s="54"/>
      <c r="O240" s="69">
        <v>-56436</v>
      </c>
      <c r="P240" s="69">
        <v>-56436</v>
      </c>
      <c r="Q240" s="69">
        <v>-56436</v>
      </c>
      <c r="R240" s="69">
        <v>-49101</v>
      </c>
      <c r="S240" s="69"/>
      <c r="T240" s="69">
        <v>66500</v>
      </c>
      <c r="U240" s="69">
        <v>66500</v>
      </c>
      <c r="V240" s="69">
        <v>59185</v>
      </c>
      <c r="W240" s="54"/>
      <c r="X240" s="69">
        <v>105286</v>
      </c>
      <c r="Y240" s="69">
        <v>103182</v>
      </c>
      <c r="Z240" s="54"/>
      <c r="AA240" s="108">
        <v>14894</v>
      </c>
      <c r="AB240" s="54"/>
      <c r="AC240" s="108">
        <f>VLOOKUP(A240,'Change in Proportion Calc'!$A$5:$H$311,8,FALSE)+SUMIF($C$5:$AB$5,2026,C240:AB240)</f>
        <v>78766</v>
      </c>
      <c r="AE240" s="107">
        <f t="shared" si="16"/>
        <v>228867</v>
      </c>
      <c r="AF240" s="107">
        <f t="shared" si="17"/>
        <v>394999</v>
      </c>
      <c r="AH240" s="107"/>
      <c r="AI240" s="108"/>
      <c r="AJ240" s="108"/>
      <c r="AK240" s="213">
        <f t="shared" si="15"/>
        <v>24072</v>
      </c>
      <c r="AL240" s="107">
        <f t="shared" si="18"/>
        <v>61768</v>
      </c>
      <c r="AM240" s="107">
        <f t="shared" si="18"/>
        <v>-48729</v>
      </c>
      <c r="AN240" s="107">
        <f t="shared" si="18"/>
        <v>-100579</v>
      </c>
      <c r="AO240" s="107">
        <f t="shared" si="18"/>
        <v>-50434</v>
      </c>
      <c r="AP240" s="107">
        <f t="shared" si="18"/>
        <v>-28158</v>
      </c>
    </row>
    <row r="241" spans="1:42">
      <c r="A241" s="53">
        <v>14366</v>
      </c>
      <c r="B241" s="54" t="s">
        <v>226</v>
      </c>
      <c r="C241" s="234">
        <f>_xlfn.XLOOKUP($A241,'Change in Proportion Calc'!$A$5:$A$311,'Change in Proportion Calc'!L$5:L$311,"n",0,1)</f>
        <v>-3523</v>
      </c>
      <c r="D241" s="234">
        <f>_xlfn.XLOOKUP($A241,'Change in Proportion Calc'!$A$5:$A$311,'Change in Proportion Calc'!M$5:M$311,"n",0,1)</f>
        <v>-3523</v>
      </c>
      <c r="E241" s="234">
        <f>_xlfn.XLOOKUP($A241,'Change in Proportion Calc'!$A$5:$A$311,'Change in Proportion Calc'!N$5:N$311,"n",0,1)</f>
        <v>-3523</v>
      </c>
      <c r="F241" s="234">
        <f>_xlfn.XLOOKUP($A241,'Change in Proportion Calc'!$A$5:$A$311,'Change in Proportion Calc'!O$5:O$311,"n",0,1)</f>
        <v>-3523</v>
      </c>
      <c r="G241" s="234">
        <f>_xlfn.XLOOKUP($A241,'Change in Proportion Calc'!$A$5:$A$311,'Change in Proportion Calc'!P$5:P$311,"n",0,1)</f>
        <v>-2715</v>
      </c>
      <c r="H241" s="54"/>
      <c r="I241" s="69">
        <v>-32648</v>
      </c>
      <c r="J241" s="69">
        <v>-32648</v>
      </c>
      <c r="K241" s="69">
        <v>-32648</v>
      </c>
      <c r="L241" s="69">
        <v>-32648</v>
      </c>
      <c r="M241" s="69">
        <v>-30362</v>
      </c>
      <c r="N241" s="54"/>
      <c r="O241" s="69">
        <v>79945</v>
      </c>
      <c r="P241" s="69">
        <v>79945</v>
      </c>
      <c r="Q241" s="69">
        <v>79945</v>
      </c>
      <c r="R241" s="69">
        <v>69553</v>
      </c>
      <c r="S241" s="69"/>
      <c r="T241" s="69">
        <v>102590</v>
      </c>
      <c r="U241" s="69">
        <v>102590</v>
      </c>
      <c r="V241" s="69">
        <v>91306</v>
      </c>
      <c r="W241" s="54"/>
      <c r="X241" s="69">
        <v>729</v>
      </c>
      <c r="Y241" s="69">
        <v>714</v>
      </c>
      <c r="Z241" s="54"/>
      <c r="AA241" s="108">
        <v>20279</v>
      </c>
      <c r="AB241" s="54"/>
      <c r="AC241" s="108">
        <f>VLOOKUP(A241,'Change in Proportion Calc'!$A$5:$H$311,8,FALSE)+SUMIF($C$5:$AB$5,2026,C241:AB241)</f>
        <v>167372</v>
      </c>
      <c r="AE241" s="107">
        <f t="shared" si="16"/>
        <v>424053</v>
      </c>
      <c r="AF241" s="107">
        <f t="shared" si="17"/>
        <v>145113</v>
      </c>
      <c r="AH241" s="107"/>
      <c r="AI241" s="108"/>
      <c r="AJ241" s="108"/>
      <c r="AK241" s="213">
        <f t="shared" si="15"/>
        <v>14366</v>
      </c>
      <c r="AL241" s="107">
        <f t="shared" si="18"/>
        <v>147078</v>
      </c>
      <c r="AM241" s="107">
        <f t="shared" si="18"/>
        <v>135080</v>
      </c>
      <c r="AN241" s="107">
        <f t="shared" si="18"/>
        <v>33382</v>
      </c>
      <c r="AO241" s="107">
        <f t="shared" si="18"/>
        <v>-33885</v>
      </c>
      <c r="AP241" s="107">
        <f t="shared" si="18"/>
        <v>-2715</v>
      </c>
    </row>
    <row r="242" spans="1:42">
      <c r="A242" s="51">
        <v>4317</v>
      </c>
      <c r="B242" s="55" t="s">
        <v>227</v>
      </c>
      <c r="C242" s="234">
        <f>_xlfn.XLOOKUP($A242,'Change in Proportion Calc'!$A$5:$A$311,'Change in Proportion Calc'!L$5:L$311,"n",0,1)</f>
        <v>1863</v>
      </c>
      <c r="D242" s="234">
        <f>_xlfn.XLOOKUP($A242,'Change in Proportion Calc'!$A$5:$A$311,'Change in Proportion Calc'!M$5:M$311,"n",0,1)</f>
        <v>1863</v>
      </c>
      <c r="E242" s="234">
        <f>_xlfn.XLOOKUP($A242,'Change in Proportion Calc'!$A$5:$A$311,'Change in Proportion Calc'!N$5:N$311,"n",0,1)</f>
        <v>1863</v>
      </c>
      <c r="F242" s="234">
        <f>_xlfn.XLOOKUP($A242,'Change in Proportion Calc'!$A$5:$A$311,'Change in Proportion Calc'!O$5:O$311,"n",0,1)</f>
        <v>1863</v>
      </c>
      <c r="G242" s="234">
        <f>_xlfn.XLOOKUP($A242,'Change in Proportion Calc'!$A$5:$A$311,'Change in Proportion Calc'!P$5:P$311,"n",0,1)</f>
        <v>1432</v>
      </c>
      <c r="H242" s="54"/>
      <c r="I242" s="69">
        <v>-3582</v>
      </c>
      <c r="J242" s="69">
        <v>-3582</v>
      </c>
      <c r="K242" s="69">
        <v>-3582</v>
      </c>
      <c r="L242" s="69">
        <v>-3582</v>
      </c>
      <c r="M242" s="69">
        <v>-3329</v>
      </c>
      <c r="N242" s="54"/>
      <c r="O242" s="69">
        <v>-8136</v>
      </c>
      <c r="P242" s="69">
        <v>-8136</v>
      </c>
      <c r="Q242" s="69">
        <v>-8136</v>
      </c>
      <c r="R242" s="69">
        <v>-7079</v>
      </c>
      <c r="S242" s="69"/>
      <c r="T242" s="69">
        <v>14205</v>
      </c>
      <c r="U242" s="69">
        <v>14205</v>
      </c>
      <c r="V242" s="69">
        <v>12643</v>
      </c>
      <c r="W242" s="54"/>
      <c r="X242" s="69">
        <v>105205</v>
      </c>
      <c r="Y242" s="69">
        <v>103103</v>
      </c>
      <c r="Z242" s="54"/>
      <c r="AA242" s="108">
        <v>1262</v>
      </c>
      <c r="AB242" s="54"/>
      <c r="AC242" s="108">
        <f>VLOOKUP(A242,'Change in Proportion Calc'!$A$5:$H$311,8,FALSE)+SUMIF($C$5:$AB$5,2026,C242:AB242)</f>
        <v>110817</v>
      </c>
      <c r="AE242" s="107">
        <f t="shared" si="16"/>
        <v>138835</v>
      </c>
      <c r="AF242" s="107">
        <f t="shared" si="17"/>
        <v>37426</v>
      </c>
      <c r="AH242" s="107"/>
      <c r="AI242" s="108"/>
      <c r="AJ242" s="108"/>
      <c r="AK242" s="213">
        <f t="shared" si="15"/>
        <v>4317</v>
      </c>
      <c r="AL242" s="107">
        <f t="shared" si="18"/>
        <v>107453</v>
      </c>
      <c r="AM242" s="107">
        <f t="shared" si="18"/>
        <v>2788</v>
      </c>
      <c r="AN242" s="107">
        <f t="shared" si="18"/>
        <v>-8798</v>
      </c>
      <c r="AO242" s="107">
        <f t="shared" si="18"/>
        <v>-1466</v>
      </c>
      <c r="AP242" s="107">
        <f t="shared" si="18"/>
        <v>1432</v>
      </c>
    </row>
    <row r="243" spans="1:42">
      <c r="A243" s="53">
        <v>2433</v>
      </c>
      <c r="B243" s="54" t="s">
        <v>228</v>
      </c>
      <c r="C243" s="234">
        <f>_xlfn.XLOOKUP($A243,'Change in Proportion Calc'!$A$5:$A$311,'Change in Proportion Calc'!L$5:L$311,"n",0,1)</f>
        <v>63131</v>
      </c>
      <c r="D243" s="234">
        <f>_xlfn.XLOOKUP($A243,'Change in Proportion Calc'!$A$5:$A$311,'Change in Proportion Calc'!M$5:M$311,"n",0,1)</f>
        <v>63131</v>
      </c>
      <c r="E243" s="234">
        <f>_xlfn.XLOOKUP($A243,'Change in Proportion Calc'!$A$5:$A$311,'Change in Proportion Calc'!N$5:N$311,"n",0,1)</f>
        <v>63131</v>
      </c>
      <c r="F243" s="234">
        <f>_xlfn.XLOOKUP($A243,'Change in Proportion Calc'!$A$5:$A$311,'Change in Proportion Calc'!O$5:O$311,"n",0,1)</f>
        <v>63131</v>
      </c>
      <c r="G243" s="234">
        <f>_xlfn.XLOOKUP($A243,'Change in Proportion Calc'!$A$5:$A$311,'Change in Proportion Calc'!P$5:P$311,"n",0,1)</f>
        <v>48610</v>
      </c>
      <c r="H243" s="54"/>
      <c r="I243" s="69">
        <v>60408</v>
      </c>
      <c r="J243" s="69">
        <v>60408</v>
      </c>
      <c r="K243" s="69">
        <v>60408</v>
      </c>
      <c r="L243" s="69">
        <v>60408</v>
      </c>
      <c r="M243" s="69">
        <v>56182</v>
      </c>
      <c r="N243" s="54"/>
      <c r="O243" s="69">
        <v>16660</v>
      </c>
      <c r="P243" s="69">
        <v>16660</v>
      </c>
      <c r="Q243" s="69">
        <v>16660</v>
      </c>
      <c r="R243" s="69">
        <v>14494</v>
      </c>
      <c r="S243" s="69"/>
      <c r="T243" s="69">
        <v>28003</v>
      </c>
      <c r="U243" s="69">
        <v>28003</v>
      </c>
      <c r="V243" s="69">
        <v>24925</v>
      </c>
      <c r="W243" s="54"/>
      <c r="X243" s="69">
        <v>21624</v>
      </c>
      <c r="Y243" s="69">
        <v>21193</v>
      </c>
      <c r="Z243" s="54"/>
      <c r="AA243" s="108">
        <v>45021</v>
      </c>
      <c r="AB243" s="54"/>
      <c r="AC243" s="108">
        <f>VLOOKUP(A243,'Change in Proportion Calc'!$A$5:$H$311,8,FALSE)+SUMIF($C$5:$AB$5,2026,C243:AB243)</f>
        <v>234847</v>
      </c>
      <c r="AE243" s="107">
        <f t="shared" si="16"/>
        <v>660475</v>
      </c>
      <c r="AF243" s="107">
        <f t="shared" si="17"/>
        <v>0</v>
      </c>
      <c r="AH243" s="107"/>
      <c r="AI243" s="108"/>
      <c r="AJ243" s="108"/>
      <c r="AK243" s="213">
        <f t="shared" si="15"/>
        <v>2433</v>
      </c>
      <c r="AL243" s="107">
        <f t="shared" si="18"/>
        <v>189395</v>
      </c>
      <c r="AM243" s="107">
        <f t="shared" si="18"/>
        <v>165124</v>
      </c>
      <c r="AN243" s="107">
        <f t="shared" si="18"/>
        <v>138033</v>
      </c>
      <c r="AO243" s="107">
        <f t="shared" si="18"/>
        <v>119313</v>
      </c>
      <c r="AP243" s="107">
        <f t="shared" si="18"/>
        <v>48610</v>
      </c>
    </row>
    <row r="244" spans="1:42">
      <c r="A244" s="51">
        <v>3300</v>
      </c>
      <c r="B244" s="55" t="s">
        <v>229</v>
      </c>
      <c r="C244" s="234">
        <f>_xlfn.XLOOKUP($A244,'Change in Proportion Calc'!$A$5:$A$311,'Change in Proportion Calc'!L$5:L$311,"n",0,1)</f>
        <v>30851</v>
      </c>
      <c r="D244" s="234">
        <f>_xlfn.XLOOKUP($A244,'Change in Proportion Calc'!$A$5:$A$311,'Change in Proportion Calc'!M$5:M$311,"n",0,1)</f>
        <v>30851</v>
      </c>
      <c r="E244" s="234">
        <f>_xlfn.XLOOKUP($A244,'Change in Proportion Calc'!$A$5:$A$311,'Change in Proportion Calc'!N$5:N$311,"n",0,1)</f>
        <v>30851</v>
      </c>
      <c r="F244" s="234">
        <f>_xlfn.XLOOKUP($A244,'Change in Proportion Calc'!$A$5:$A$311,'Change in Proportion Calc'!O$5:O$311,"n",0,1)</f>
        <v>30851</v>
      </c>
      <c r="G244" s="234">
        <f>_xlfn.XLOOKUP($A244,'Change in Proportion Calc'!$A$5:$A$311,'Change in Proportion Calc'!P$5:P$311,"n",0,1)</f>
        <v>23757</v>
      </c>
      <c r="H244" s="54"/>
      <c r="I244" s="69">
        <v>14999</v>
      </c>
      <c r="J244" s="69">
        <v>14999</v>
      </c>
      <c r="K244" s="69">
        <v>14999</v>
      </c>
      <c r="L244" s="69">
        <v>14999</v>
      </c>
      <c r="M244" s="69">
        <v>13948</v>
      </c>
      <c r="N244" s="54"/>
      <c r="O244" s="69">
        <v>-23863</v>
      </c>
      <c r="P244" s="69">
        <v>-23863</v>
      </c>
      <c r="Q244" s="69">
        <v>-23863</v>
      </c>
      <c r="R244" s="69">
        <v>-20760</v>
      </c>
      <c r="S244" s="69"/>
      <c r="T244" s="69">
        <v>14481</v>
      </c>
      <c r="U244" s="69">
        <v>14481</v>
      </c>
      <c r="V244" s="69">
        <v>12886</v>
      </c>
      <c r="W244" s="54"/>
      <c r="X244" s="69">
        <v>-32882</v>
      </c>
      <c r="Y244" s="69">
        <v>-32223</v>
      </c>
      <c r="Z244" s="54"/>
      <c r="AA244" s="108">
        <v>-21373</v>
      </c>
      <c r="AB244" s="54"/>
      <c r="AC244" s="108">
        <f>VLOOKUP(A244,'Change in Proportion Calc'!$A$5:$H$311,8,FALSE)+SUMIF($C$5:$AB$5,2026,C244:AB244)</f>
        <v>-17787</v>
      </c>
      <c r="AE244" s="107">
        <f t="shared" si="16"/>
        <v>233473</v>
      </c>
      <c r="AF244" s="107">
        <f t="shared" si="17"/>
        <v>100709</v>
      </c>
      <c r="AH244" s="107"/>
      <c r="AI244" s="108"/>
      <c r="AJ244" s="108"/>
      <c r="AK244" s="213">
        <f t="shared" si="15"/>
        <v>3300</v>
      </c>
      <c r="AL244" s="107">
        <f t="shared" si="18"/>
        <v>4245</v>
      </c>
      <c r="AM244" s="107">
        <f t="shared" si="18"/>
        <v>34873</v>
      </c>
      <c r="AN244" s="107">
        <f t="shared" si="18"/>
        <v>25090</v>
      </c>
      <c r="AO244" s="107">
        <f t="shared" si="18"/>
        <v>44799</v>
      </c>
      <c r="AP244" s="107">
        <f t="shared" si="18"/>
        <v>23757</v>
      </c>
    </row>
    <row r="245" spans="1:42">
      <c r="A245" s="53">
        <v>8026</v>
      </c>
      <c r="B245" s="54" t="s">
        <v>230</v>
      </c>
      <c r="C245" s="234">
        <f>_xlfn.XLOOKUP($A245,'Change in Proportion Calc'!$A$5:$A$311,'Change in Proportion Calc'!L$5:L$311,"n",0,1)</f>
        <v>-36001</v>
      </c>
      <c r="D245" s="234">
        <f>_xlfn.XLOOKUP($A245,'Change in Proportion Calc'!$A$5:$A$311,'Change in Proportion Calc'!M$5:M$311,"n",0,1)</f>
        <v>-36001</v>
      </c>
      <c r="E245" s="234">
        <f>_xlfn.XLOOKUP($A245,'Change in Proportion Calc'!$A$5:$A$311,'Change in Proportion Calc'!N$5:N$311,"n",0,1)</f>
        <v>-36001</v>
      </c>
      <c r="F245" s="234">
        <f>_xlfn.XLOOKUP($A245,'Change in Proportion Calc'!$A$5:$A$311,'Change in Proportion Calc'!O$5:O$311,"n",0,1)</f>
        <v>-36001</v>
      </c>
      <c r="G245" s="234">
        <f>_xlfn.XLOOKUP($A245,'Change in Proportion Calc'!$A$5:$A$311,'Change in Proportion Calc'!P$5:P$311,"n",0,1)</f>
        <v>-27722</v>
      </c>
      <c r="H245" s="54"/>
      <c r="I245" s="69">
        <v>-40189</v>
      </c>
      <c r="J245" s="69">
        <v>-40189</v>
      </c>
      <c r="K245" s="69">
        <v>-40189</v>
      </c>
      <c r="L245" s="69">
        <v>-40189</v>
      </c>
      <c r="M245" s="69">
        <v>-37377</v>
      </c>
      <c r="N245" s="54"/>
      <c r="O245" s="69">
        <v>-34106</v>
      </c>
      <c r="P245" s="69">
        <v>-34106</v>
      </c>
      <c r="Q245" s="69">
        <v>-34106</v>
      </c>
      <c r="R245" s="69">
        <v>-29671</v>
      </c>
      <c r="S245" s="69"/>
      <c r="T245" s="69">
        <v>9056</v>
      </c>
      <c r="U245" s="69">
        <v>9056</v>
      </c>
      <c r="V245" s="69">
        <v>8058</v>
      </c>
      <c r="W245" s="54"/>
      <c r="X245" s="69">
        <v>-123590</v>
      </c>
      <c r="Y245" s="69">
        <v>-121118</v>
      </c>
      <c r="Z245" s="54"/>
      <c r="AA245" s="108">
        <v>-120591</v>
      </c>
      <c r="AB245" s="54"/>
      <c r="AC245" s="108">
        <f>VLOOKUP(A245,'Change in Proportion Calc'!$A$5:$H$311,8,FALSE)+SUMIF($C$5:$AB$5,2026,C245:AB245)</f>
        <v>-345421</v>
      </c>
      <c r="AE245" s="107">
        <f t="shared" si="16"/>
        <v>17114</v>
      </c>
      <c r="AF245" s="107">
        <f t="shared" si="17"/>
        <v>548671</v>
      </c>
      <c r="AH245" s="107"/>
      <c r="AI245" s="108"/>
      <c r="AJ245" s="108"/>
      <c r="AK245" s="213">
        <f t="shared" si="15"/>
        <v>8026</v>
      </c>
      <c r="AL245" s="107">
        <f t="shared" si="18"/>
        <v>-222358</v>
      </c>
      <c r="AM245" s="107">
        <f t="shared" si="18"/>
        <v>-102238</v>
      </c>
      <c r="AN245" s="107">
        <f t="shared" si="18"/>
        <v>-105861</v>
      </c>
      <c r="AO245" s="107">
        <f t="shared" si="18"/>
        <v>-73378</v>
      </c>
      <c r="AP245" s="107">
        <f t="shared" si="18"/>
        <v>-27722</v>
      </c>
    </row>
    <row r="246" spans="1:42">
      <c r="A246" s="51">
        <v>13438</v>
      </c>
      <c r="B246" s="55" t="s">
        <v>231</v>
      </c>
      <c r="C246" s="234">
        <f>_xlfn.XLOOKUP($A246,'Change in Proportion Calc'!$A$5:$A$311,'Change in Proportion Calc'!L$5:L$311,"n",0,1)</f>
        <v>936</v>
      </c>
      <c r="D246" s="234">
        <f>_xlfn.XLOOKUP($A246,'Change in Proportion Calc'!$A$5:$A$311,'Change in Proportion Calc'!M$5:M$311,"n",0,1)</f>
        <v>936</v>
      </c>
      <c r="E246" s="234">
        <f>_xlfn.XLOOKUP($A246,'Change in Proportion Calc'!$A$5:$A$311,'Change in Proportion Calc'!N$5:N$311,"n",0,1)</f>
        <v>936</v>
      </c>
      <c r="F246" s="234">
        <f>_xlfn.XLOOKUP($A246,'Change in Proportion Calc'!$A$5:$A$311,'Change in Proportion Calc'!O$5:O$311,"n",0,1)</f>
        <v>936</v>
      </c>
      <c r="G246" s="234">
        <f>_xlfn.XLOOKUP($A246,'Change in Proportion Calc'!$A$5:$A$311,'Change in Proportion Calc'!P$5:P$311,"n",0,1)</f>
        <v>722</v>
      </c>
      <c r="H246" s="54"/>
      <c r="I246" s="69">
        <v>-17780</v>
      </c>
      <c r="J246" s="69">
        <v>-17780</v>
      </c>
      <c r="K246" s="69">
        <v>-17780</v>
      </c>
      <c r="L246" s="69">
        <v>-17780</v>
      </c>
      <c r="M246" s="69">
        <v>-16536</v>
      </c>
      <c r="N246" s="54"/>
      <c r="O246" s="69">
        <v>4865</v>
      </c>
      <c r="P246" s="69">
        <v>4865</v>
      </c>
      <c r="Q246" s="69">
        <v>4865</v>
      </c>
      <c r="R246" s="69">
        <v>4233</v>
      </c>
      <c r="S246" s="69"/>
      <c r="T246" s="69">
        <v>6854</v>
      </c>
      <c r="U246" s="69">
        <v>6854</v>
      </c>
      <c r="V246" s="69">
        <v>6099</v>
      </c>
      <c r="W246" s="54"/>
      <c r="X246" s="69">
        <v>9233</v>
      </c>
      <c r="Y246" s="69">
        <v>9047</v>
      </c>
      <c r="Z246" s="54"/>
      <c r="AA246" s="108">
        <v>-18347</v>
      </c>
      <c r="AB246" s="54"/>
      <c r="AC246" s="108">
        <f>VLOOKUP(A246,'Change in Proportion Calc'!$A$5:$H$311,8,FALSE)+SUMIF($C$5:$AB$5,2026,C246:AB246)</f>
        <v>-14239</v>
      </c>
      <c r="AE246" s="107">
        <f t="shared" si="16"/>
        <v>40429</v>
      </c>
      <c r="AF246" s="107">
        <f t="shared" si="17"/>
        <v>69876</v>
      </c>
      <c r="AH246" s="107"/>
      <c r="AI246" s="108"/>
      <c r="AJ246" s="108"/>
      <c r="AK246" s="213">
        <f t="shared" si="15"/>
        <v>13438</v>
      </c>
      <c r="AL246" s="107">
        <f t="shared" si="18"/>
        <v>3922</v>
      </c>
      <c r="AM246" s="107">
        <f t="shared" si="18"/>
        <v>-5880</v>
      </c>
      <c r="AN246" s="107">
        <f t="shared" si="18"/>
        <v>-12611</v>
      </c>
      <c r="AO246" s="107">
        <f t="shared" si="18"/>
        <v>-15600</v>
      </c>
      <c r="AP246" s="107">
        <f t="shared" si="18"/>
        <v>722</v>
      </c>
    </row>
    <row r="247" spans="1:42">
      <c r="A247" s="53">
        <v>25076</v>
      </c>
      <c r="B247" s="54" t="s">
        <v>232</v>
      </c>
      <c r="C247" s="234">
        <f>_xlfn.XLOOKUP($A247,'Change in Proportion Calc'!$A$5:$A$311,'Change in Proportion Calc'!L$5:L$311,"n",0,1)</f>
        <v>-97920</v>
      </c>
      <c r="D247" s="234">
        <f>_xlfn.XLOOKUP($A247,'Change in Proportion Calc'!$A$5:$A$311,'Change in Proportion Calc'!M$5:M$311,"n",0,1)</f>
        <v>-97920</v>
      </c>
      <c r="E247" s="234">
        <f>_xlfn.XLOOKUP($A247,'Change in Proportion Calc'!$A$5:$A$311,'Change in Proportion Calc'!N$5:N$311,"n",0,1)</f>
        <v>-97920</v>
      </c>
      <c r="F247" s="234">
        <f>_xlfn.XLOOKUP($A247,'Change in Proportion Calc'!$A$5:$A$311,'Change in Proportion Calc'!O$5:O$311,"n",0,1)</f>
        <v>-97920</v>
      </c>
      <c r="G247" s="234">
        <f>_xlfn.XLOOKUP($A247,'Change in Proportion Calc'!$A$5:$A$311,'Change in Proportion Calc'!P$5:P$311,"n",0,1)</f>
        <v>-75397</v>
      </c>
      <c r="H247" s="54"/>
      <c r="I247" s="69">
        <v>-38018</v>
      </c>
      <c r="J247" s="69">
        <v>-38018</v>
      </c>
      <c r="K247" s="69">
        <v>-38018</v>
      </c>
      <c r="L247" s="69">
        <v>-38018</v>
      </c>
      <c r="M247" s="69">
        <v>-35354</v>
      </c>
      <c r="N247" s="54"/>
      <c r="O247" s="69">
        <v>80452</v>
      </c>
      <c r="P247" s="69">
        <v>80452</v>
      </c>
      <c r="Q247" s="69">
        <v>80452</v>
      </c>
      <c r="R247" s="69">
        <v>69994</v>
      </c>
      <c r="S247" s="69"/>
      <c r="T247" s="69">
        <v>-29178</v>
      </c>
      <c r="U247" s="69">
        <v>-29178</v>
      </c>
      <c r="V247" s="69">
        <v>-25969</v>
      </c>
      <c r="W247" s="54"/>
      <c r="X247" s="69">
        <v>-75725</v>
      </c>
      <c r="Y247" s="69">
        <v>-74211</v>
      </c>
      <c r="Z247" s="54"/>
      <c r="AA247" s="108">
        <v>11613</v>
      </c>
      <c r="AB247" s="54"/>
      <c r="AC247" s="108">
        <f>VLOOKUP(A247,'Change in Proportion Calc'!$A$5:$H$311,8,FALSE)+SUMIF($C$5:$AB$5,2026,C247:AB247)</f>
        <v>-148776</v>
      </c>
      <c r="AE247" s="107">
        <f t="shared" si="16"/>
        <v>230898</v>
      </c>
      <c r="AF247" s="107">
        <f t="shared" si="17"/>
        <v>745843</v>
      </c>
      <c r="AH247" s="107"/>
      <c r="AI247" s="108"/>
      <c r="AJ247" s="108"/>
      <c r="AK247" s="213">
        <f t="shared" si="15"/>
        <v>25076</v>
      </c>
      <c r="AL247" s="107">
        <f t="shared" si="18"/>
        <v>-158875</v>
      </c>
      <c r="AM247" s="107">
        <f t="shared" si="18"/>
        <v>-81455</v>
      </c>
      <c r="AN247" s="107">
        <f t="shared" si="18"/>
        <v>-65944</v>
      </c>
      <c r="AO247" s="107">
        <f t="shared" si="18"/>
        <v>-133274</v>
      </c>
      <c r="AP247" s="107">
        <f t="shared" si="18"/>
        <v>-75397</v>
      </c>
    </row>
    <row r="248" spans="1:42">
      <c r="A248" s="51">
        <v>2440</v>
      </c>
      <c r="B248" s="55" t="s">
        <v>396</v>
      </c>
      <c r="C248" s="234">
        <f>_xlfn.XLOOKUP($A248,'Change in Proportion Calc'!$A$5:$A$311,'Change in Proportion Calc'!L$5:L$311,"n",0,1)</f>
        <v>-25610</v>
      </c>
      <c r="D248" s="234">
        <f>_xlfn.XLOOKUP($A248,'Change in Proportion Calc'!$A$5:$A$311,'Change in Proportion Calc'!M$5:M$311,"n",0,1)</f>
        <v>-25610</v>
      </c>
      <c r="E248" s="234">
        <f>_xlfn.XLOOKUP($A248,'Change in Proportion Calc'!$A$5:$A$311,'Change in Proportion Calc'!N$5:N$311,"n",0,1)</f>
        <v>-25610</v>
      </c>
      <c r="F248" s="234">
        <f>_xlfn.XLOOKUP($A248,'Change in Proportion Calc'!$A$5:$A$311,'Change in Proportion Calc'!O$5:O$311,"n",0,1)</f>
        <v>-25610</v>
      </c>
      <c r="G248" s="234">
        <f>_xlfn.XLOOKUP($A248,'Change in Proportion Calc'!$A$5:$A$311,'Change in Proportion Calc'!P$5:P$311,"n",0,1)</f>
        <v>-19722</v>
      </c>
      <c r="H248" s="54"/>
      <c r="I248" s="69">
        <v>76756</v>
      </c>
      <c r="J248" s="69">
        <v>76756</v>
      </c>
      <c r="K248" s="69">
        <v>76756</v>
      </c>
      <c r="L248" s="69">
        <v>76756</v>
      </c>
      <c r="M248" s="69">
        <v>71384</v>
      </c>
      <c r="N248" s="54"/>
      <c r="O248" s="69">
        <v>34223</v>
      </c>
      <c r="P248" s="69">
        <v>34223</v>
      </c>
      <c r="Q248" s="69">
        <v>34223</v>
      </c>
      <c r="R248" s="69">
        <v>29772</v>
      </c>
      <c r="S248" s="69"/>
      <c r="T248" s="69">
        <v>64738</v>
      </c>
      <c r="U248" s="69">
        <v>64738</v>
      </c>
      <c r="V248" s="69">
        <v>57619</v>
      </c>
      <c r="W248" s="54"/>
      <c r="X248" s="69">
        <v>55721</v>
      </c>
      <c r="Y248" s="69">
        <v>54605</v>
      </c>
      <c r="Z248" s="54"/>
      <c r="AA248" s="108">
        <v>106031</v>
      </c>
      <c r="AB248" s="54"/>
      <c r="AC248" s="108">
        <f>VLOOKUP(A248,'Change in Proportion Calc'!$A$5:$H$311,8,FALSE)+SUMIF($C$5:$AB$5,2026,C248:AB248)</f>
        <v>311859</v>
      </c>
      <c r="AE248" s="107">
        <f t="shared" si="16"/>
        <v>576832</v>
      </c>
      <c r="AF248" s="107">
        <f t="shared" si="17"/>
        <v>122162</v>
      </c>
      <c r="AH248" s="107"/>
      <c r="AI248" s="108"/>
      <c r="AJ248" s="108"/>
      <c r="AK248" s="213">
        <f t="shared" si="15"/>
        <v>2440</v>
      </c>
      <c r="AL248" s="107">
        <f t="shared" si="18"/>
        <v>204712</v>
      </c>
      <c r="AM248" s="107">
        <f t="shared" si="18"/>
        <v>142988</v>
      </c>
      <c r="AN248" s="107">
        <f t="shared" si="18"/>
        <v>80918</v>
      </c>
      <c r="AO248" s="107">
        <f t="shared" si="18"/>
        <v>45774</v>
      </c>
      <c r="AP248" s="107">
        <f t="shared" si="18"/>
        <v>-19722</v>
      </c>
    </row>
    <row r="249" spans="1:42">
      <c r="A249" s="53">
        <v>2309</v>
      </c>
      <c r="B249" s="54" t="s">
        <v>233</v>
      </c>
      <c r="C249" s="234">
        <f>_xlfn.XLOOKUP($A249,'Change in Proportion Calc'!$A$5:$A$311,'Change in Proportion Calc'!L$5:L$311,"n",0,1)</f>
        <v>-37795</v>
      </c>
      <c r="D249" s="234">
        <f>_xlfn.XLOOKUP($A249,'Change in Proportion Calc'!$A$5:$A$311,'Change in Proportion Calc'!M$5:M$311,"n",0,1)</f>
        <v>-37795</v>
      </c>
      <c r="E249" s="234">
        <f>_xlfn.XLOOKUP($A249,'Change in Proportion Calc'!$A$5:$A$311,'Change in Proportion Calc'!N$5:N$311,"n",0,1)</f>
        <v>-37795</v>
      </c>
      <c r="F249" s="234">
        <f>_xlfn.XLOOKUP($A249,'Change in Proportion Calc'!$A$5:$A$311,'Change in Proportion Calc'!O$5:O$311,"n",0,1)</f>
        <v>-37795</v>
      </c>
      <c r="G249" s="234">
        <f>_xlfn.XLOOKUP($A249,'Change in Proportion Calc'!$A$5:$A$311,'Change in Proportion Calc'!P$5:P$311,"n",0,1)</f>
        <v>-29104</v>
      </c>
      <c r="H249" s="54"/>
      <c r="I249" s="69">
        <v>26881</v>
      </c>
      <c r="J249" s="69">
        <v>26881</v>
      </c>
      <c r="K249" s="69">
        <v>26881</v>
      </c>
      <c r="L249" s="69">
        <v>26881</v>
      </c>
      <c r="M249" s="69">
        <v>24999</v>
      </c>
      <c r="N249" s="54"/>
      <c r="O249" s="69">
        <v>9171</v>
      </c>
      <c r="P249" s="69">
        <v>9171</v>
      </c>
      <c r="Q249" s="69">
        <v>9171</v>
      </c>
      <c r="R249" s="69">
        <v>7981</v>
      </c>
      <c r="S249" s="69"/>
      <c r="T249" s="69">
        <v>-17636</v>
      </c>
      <c r="U249" s="69">
        <v>-17636</v>
      </c>
      <c r="V249" s="69">
        <v>-15698</v>
      </c>
      <c r="W249" s="54"/>
      <c r="X249" s="69">
        <v>36202</v>
      </c>
      <c r="Y249" s="69">
        <v>35480</v>
      </c>
      <c r="Z249" s="54"/>
      <c r="AA249" s="108">
        <v>35850</v>
      </c>
      <c r="AB249" s="54"/>
      <c r="AC249" s="108">
        <f>VLOOKUP(A249,'Change in Proportion Calc'!$A$5:$H$311,8,FALSE)+SUMIF($C$5:$AB$5,2026,C249:AB249)</f>
        <v>52673</v>
      </c>
      <c r="AE249" s="107">
        <f t="shared" si="16"/>
        <v>167445</v>
      </c>
      <c r="AF249" s="107">
        <f t="shared" si="17"/>
        <v>213618</v>
      </c>
      <c r="AH249" s="107"/>
      <c r="AI249" s="108"/>
      <c r="AJ249" s="108"/>
      <c r="AK249" s="213">
        <f t="shared" si="15"/>
        <v>2309</v>
      </c>
      <c r="AL249" s="107">
        <f t="shared" si="18"/>
        <v>16101</v>
      </c>
      <c r="AM249" s="107">
        <f t="shared" si="18"/>
        <v>-17441</v>
      </c>
      <c r="AN249" s="107">
        <f t="shared" si="18"/>
        <v>-2933</v>
      </c>
      <c r="AO249" s="107">
        <f t="shared" si="18"/>
        <v>-12796</v>
      </c>
      <c r="AP249" s="107">
        <f t="shared" si="18"/>
        <v>-29104</v>
      </c>
    </row>
    <row r="250" spans="1:42">
      <c r="A250" s="51">
        <v>2396</v>
      </c>
      <c r="B250" s="55" t="s">
        <v>234</v>
      </c>
      <c r="C250" s="234">
        <f>_xlfn.XLOOKUP($A250,'Change in Proportion Calc'!$A$5:$A$311,'Change in Proportion Calc'!L$5:L$311,"n",0,1)</f>
        <v>-37661</v>
      </c>
      <c r="D250" s="234">
        <f>_xlfn.XLOOKUP($A250,'Change in Proportion Calc'!$A$5:$A$311,'Change in Proportion Calc'!M$5:M$311,"n",0,1)</f>
        <v>-37661</v>
      </c>
      <c r="E250" s="234">
        <f>_xlfn.XLOOKUP($A250,'Change in Proportion Calc'!$A$5:$A$311,'Change in Proportion Calc'!N$5:N$311,"n",0,1)</f>
        <v>-37661</v>
      </c>
      <c r="F250" s="234">
        <f>_xlfn.XLOOKUP($A250,'Change in Proportion Calc'!$A$5:$A$311,'Change in Proportion Calc'!O$5:O$311,"n",0,1)</f>
        <v>-37661</v>
      </c>
      <c r="G250" s="234">
        <f>_xlfn.XLOOKUP($A250,'Change in Proportion Calc'!$A$5:$A$311,'Change in Proportion Calc'!P$5:P$311,"n",0,1)</f>
        <v>-29001</v>
      </c>
      <c r="H250" s="54"/>
      <c r="I250" s="69">
        <v>-17006</v>
      </c>
      <c r="J250" s="69">
        <v>-17006</v>
      </c>
      <c r="K250" s="69">
        <v>-17006</v>
      </c>
      <c r="L250" s="69">
        <v>-17006</v>
      </c>
      <c r="M250" s="69">
        <v>-15815</v>
      </c>
      <c r="N250" s="54"/>
      <c r="O250" s="69">
        <v>4661</v>
      </c>
      <c r="P250" s="69">
        <v>4661</v>
      </c>
      <c r="Q250" s="69">
        <v>4661</v>
      </c>
      <c r="R250" s="69">
        <v>4057</v>
      </c>
      <c r="S250" s="69"/>
      <c r="T250" s="69">
        <v>17830</v>
      </c>
      <c r="U250" s="69">
        <v>17830</v>
      </c>
      <c r="V250" s="69">
        <v>15871</v>
      </c>
      <c r="W250" s="54"/>
      <c r="X250" s="69">
        <v>14335</v>
      </c>
      <c r="Y250" s="69">
        <v>14049</v>
      </c>
      <c r="Z250" s="54"/>
      <c r="AA250" s="108">
        <v>20617</v>
      </c>
      <c r="AB250" s="54"/>
      <c r="AC250" s="108">
        <f>VLOOKUP(A250,'Change in Proportion Calc'!$A$5:$H$311,8,FALSE)+SUMIF($C$5:$AB$5,2026,C250:AB250)</f>
        <v>2776</v>
      </c>
      <c r="AE250" s="107">
        <f t="shared" si="16"/>
        <v>61129</v>
      </c>
      <c r="AF250" s="107">
        <f t="shared" si="17"/>
        <v>246478</v>
      </c>
      <c r="AH250" s="107"/>
      <c r="AI250" s="108"/>
      <c r="AJ250" s="108"/>
      <c r="AK250" s="213">
        <f t="shared" si="15"/>
        <v>2396</v>
      </c>
      <c r="AL250" s="107">
        <f t="shared" si="18"/>
        <v>-18127</v>
      </c>
      <c r="AM250" s="107">
        <f t="shared" si="18"/>
        <v>-34135</v>
      </c>
      <c r="AN250" s="107">
        <f t="shared" si="18"/>
        <v>-50610</v>
      </c>
      <c r="AO250" s="107">
        <f t="shared" si="18"/>
        <v>-53476</v>
      </c>
      <c r="AP250" s="107">
        <f t="shared" si="18"/>
        <v>-29001</v>
      </c>
    </row>
    <row r="251" spans="1:42">
      <c r="A251" s="51" t="s">
        <v>721</v>
      </c>
      <c r="B251" s="55" t="s">
        <v>455</v>
      </c>
      <c r="C251" s="234">
        <f>_xlfn.XLOOKUP($A251,'Change in Proportion Calc'!$A$5:$A$311,'Change in Proportion Calc'!L$5:L$311,"n",0,1)</f>
        <v>59983</v>
      </c>
      <c r="D251" s="234">
        <f>_xlfn.XLOOKUP($A251,'Change in Proportion Calc'!$A$5:$A$311,'Change in Proportion Calc'!M$5:M$311,"n",0,1)</f>
        <v>59983</v>
      </c>
      <c r="E251" s="234">
        <f>_xlfn.XLOOKUP($A251,'Change in Proportion Calc'!$A$5:$A$311,'Change in Proportion Calc'!N$5:N$311,"n",0,1)</f>
        <v>59983</v>
      </c>
      <c r="F251" s="234">
        <f>_xlfn.XLOOKUP($A251,'Change in Proportion Calc'!$A$5:$A$311,'Change in Proportion Calc'!O$5:O$311,"n",0,1)</f>
        <v>59983</v>
      </c>
      <c r="G251" s="234">
        <f>_xlfn.XLOOKUP($A251,'Change in Proportion Calc'!$A$5:$A$311,'Change in Proportion Calc'!P$5:P$311,"n",0,1)</f>
        <v>46188</v>
      </c>
      <c r="H251" s="54"/>
      <c r="I251" s="69">
        <v>909559</v>
      </c>
      <c r="J251" s="69">
        <v>909559</v>
      </c>
      <c r="K251" s="69">
        <v>909559</v>
      </c>
      <c r="L251" s="69">
        <v>909559</v>
      </c>
      <c r="M251" s="69">
        <v>845888</v>
      </c>
      <c r="N251" s="54"/>
      <c r="O251" s="69"/>
      <c r="P251" s="69"/>
      <c r="Q251" s="69"/>
      <c r="R251" s="69"/>
      <c r="S251" s="69"/>
      <c r="T251" s="69"/>
      <c r="U251" s="69"/>
      <c r="V251" s="69"/>
      <c r="W251" s="54"/>
      <c r="X251" s="69"/>
      <c r="Y251" s="69"/>
      <c r="Z251" s="54"/>
      <c r="AA251" s="108"/>
      <c r="AB251" s="54"/>
      <c r="AC251" s="108">
        <f>VLOOKUP(A251,'Change in Proportion Calc'!$A$5:$H$311,8,FALSE)+SUMIF($C$5:$AB$5,2026,C251:AB251)</f>
        <v>969542</v>
      </c>
      <c r="AE251" s="107">
        <f t="shared" si="16"/>
        <v>3860685</v>
      </c>
      <c r="AF251" s="107">
        <f t="shared" si="17"/>
        <v>0</v>
      </c>
      <c r="AH251" s="107"/>
      <c r="AI251" s="108"/>
      <c r="AJ251" s="108"/>
      <c r="AK251" s="213" t="str">
        <f t="shared" si="15"/>
        <v>E3010</v>
      </c>
      <c r="AL251" s="107">
        <f t="shared" ref="AL251:AP282" si="19">+SUMIF($C$5:$AB$5,AL$5,$C251:$AB251)</f>
        <v>969542</v>
      </c>
      <c r="AM251" s="107">
        <f t="shared" si="19"/>
        <v>969542</v>
      </c>
      <c r="AN251" s="107">
        <f t="shared" si="19"/>
        <v>969542</v>
      </c>
      <c r="AO251" s="107">
        <f t="shared" si="19"/>
        <v>905871</v>
      </c>
      <c r="AP251" s="107">
        <f t="shared" si="19"/>
        <v>46188</v>
      </c>
    </row>
    <row r="252" spans="1:42">
      <c r="A252" s="53">
        <v>3380</v>
      </c>
      <c r="B252" s="54" t="s">
        <v>235</v>
      </c>
      <c r="C252" s="234">
        <f>_xlfn.XLOOKUP($A252,'Change in Proportion Calc'!$A$5:$A$311,'Change in Proportion Calc'!L$5:L$311,"n",0,1)</f>
        <v>2462</v>
      </c>
      <c r="D252" s="234">
        <f>_xlfn.XLOOKUP($A252,'Change in Proportion Calc'!$A$5:$A$311,'Change in Proportion Calc'!M$5:M$311,"n",0,1)</f>
        <v>2462</v>
      </c>
      <c r="E252" s="234">
        <f>_xlfn.XLOOKUP($A252,'Change in Proportion Calc'!$A$5:$A$311,'Change in Proportion Calc'!N$5:N$311,"n",0,1)</f>
        <v>2462</v>
      </c>
      <c r="F252" s="234">
        <f>_xlfn.XLOOKUP($A252,'Change in Proportion Calc'!$A$5:$A$311,'Change in Proportion Calc'!O$5:O$311,"n",0,1)</f>
        <v>2462</v>
      </c>
      <c r="G252" s="234">
        <f>_xlfn.XLOOKUP($A252,'Change in Proportion Calc'!$A$5:$A$311,'Change in Proportion Calc'!P$5:P$311,"n",0,1)</f>
        <v>1897</v>
      </c>
      <c r="H252" s="54"/>
      <c r="I252" s="69">
        <v>-2782</v>
      </c>
      <c r="J252" s="69">
        <v>-2782</v>
      </c>
      <c r="K252" s="69">
        <v>-2782</v>
      </c>
      <c r="L252" s="69">
        <v>-2782</v>
      </c>
      <c r="M252" s="69">
        <v>-2589</v>
      </c>
      <c r="N252" s="54"/>
      <c r="O252" s="69">
        <v>-12836</v>
      </c>
      <c r="P252" s="69">
        <v>-12836</v>
      </c>
      <c r="Q252" s="69">
        <v>-12836</v>
      </c>
      <c r="R252" s="69">
        <v>-11166</v>
      </c>
      <c r="S252" s="69"/>
      <c r="T252" s="69">
        <v>-4750</v>
      </c>
      <c r="U252" s="69">
        <v>-4750</v>
      </c>
      <c r="V252" s="69">
        <v>-4228</v>
      </c>
      <c r="W252" s="54"/>
      <c r="X252" s="69">
        <v>9395</v>
      </c>
      <c r="Y252" s="69">
        <v>9206</v>
      </c>
      <c r="Z252" s="54"/>
      <c r="AA252" s="108">
        <v>6057</v>
      </c>
      <c r="AB252" s="54"/>
      <c r="AC252" s="108">
        <f>VLOOKUP(A252,'Change in Proportion Calc'!$A$5:$H$311,8,FALSE)+SUMIF($C$5:$AB$5,2026,C252:AB252)</f>
        <v>-2454</v>
      </c>
      <c r="AE252" s="107">
        <f t="shared" si="16"/>
        <v>20951</v>
      </c>
      <c r="AF252" s="107">
        <f t="shared" si="17"/>
        <v>56751</v>
      </c>
      <c r="AH252" s="107"/>
      <c r="AI252" s="108"/>
      <c r="AJ252" s="108"/>
      <c r="AK252" s="213">
        <f t="shared" si="15"/>
        <v>3380</v>
      </c>
      <c r="AL252" s="107">
        <f t="shared" si="19"/>
        <v>-8700</v>
      </c>
      <c r="AM252" s="107">
        <f t="shared" si="19"/>
        <v>-17384</v>
      </c>
      <c r="AN252" s="107">
        <f t="shared" si="19"/>
        <v>-11486</v>
      </c>
      <c r="AO252" s="107">
        <f t="shared" si="19"/>
        <v>-127</v>
      </c>
      <c r="AP252" s="107">
        <f t="shared" si="19"/>
        <v>1897</v>
      </c>
    </row>
    <row r="253" spans="1:42">
      <c r="A253" s="51">
        <v>2420</v>
      </c>
      <c r="B253" s="55" t="s">
        <v>236</v>
      </c>
      <c r="C253" s="234">
        <f>_xlfn.XLOOKUP($A253,'Change in Proportion Calc'!$A$5:$A$311,'Change in Proportion Calc'!L$5:L$311,"n",0,1)</f>
        <v>2525</v>
      </c>
      <c r="D253" s="234">
        <f>_xlfn.XLOOKUP($A253,'Change in Proportion Calc'!$A$5:$A$311,'Change in Proportion Calc'!M$5:M$311,"n",0,1)</f>
        <v>2525</v>
      </c>
      <c r="E253" s="234">
        <f>_xlfn.XLOOKUP($A253,'Change in Proportion Calc'!$A$5:$A$311,'Change in Proportion Calc'!N$5:N$311,"n",0,1)</f>
        <v>2525</v>
      </c>
      <c r="F253" s="234">
        <f>_xlfn.XLOOKUP($A253,'Change in Proportion Calc'!$A$5:$A$311,'Change in Proportion Calc'!O$5:O$311,"n",0,1)</f>
        <v>2525</v>
      </c>
      <c r="G253" s="234">
        <f>_xlfn.XLOOKUP($A253,'Change in Proportion Calc'!$A$5:$A$311,'Change in Proportion Calc'!P$5:P$311,"n",0,1)</f>
        <v>1947</v>
      </c>
      <c r="H253" s="54"/>
      <c r="I253" s="69">
        <v>7525</v>
      </c>
      <c r="J253" s="69">
        <v>7525</v>
      </c>
      <c r="K253" s="69">
        <v>7525</v>
      </c>
      <c r="L253" s="69">
        <v>7525</v>
      </c>
      <c r="M253" s="69">
        <v>7000</v>
      </c>
      <c r="N253" s="54"/>
      <c r="O253" s="69">
        <v>9611</v>
      </c>
      <c r="P253" s="69">
        <v>9611</v>
      </c>
      <c r="Q253" s="69">
        <v>9611</v>
      </c>
      <c r="R253" s="69">
        <v>8361</v>
      </c>
      <c r="S253" s="69"/>
      <c r="T253" s="69">
        <v>-16358</v>
      </c>
      <c r="U253" s="69">
        <v>-16358</v>
      </c>
      <c r="V253" s="69">
        <v>-14559</v>
      </c>
      <c r="W253" s="54"/>
      <c r="X253" s="69">
        <v>-5669</v>
      </c>
      <c r="Y253" s="69">
        <v>-5557</v>
      </c>
      <c r="Z253" s="54"/>
      <c r="AA253" s="108">
        <v>-27853</v>
      </c>
      <c r="AB253" s="54"/>
      <c r="AC253" s="108">
        <f>VLOOKUP(A253,'Change in Proportion Calc'!$A$5:$H$311,8,FALSE)+SUMIF($C$5:$AB$5,2026,C253:AB253)</f>
        <v>-30219</v>
      </c>
      <c r="AE253" s="107">
        <f t="shared" si="16"/>
        <v>69205</v>
      </c>
      <c r="AF253" s="107">
        <f t="shared" si="17"/>
        <v>36474</v>
      </c>
      <c r="AH253" s="107"/>
      <c r="AI253" s="108"/>
      <c r="AJ253" s="108"/>
      <c r="AK253" s="213">
        <f t="shared" si="15"/>
        <v>2420</v>
      </c>
      <c r="AL253" s="107">
        <f t="shared" si="19"/>
        <v>-2254</v>
      </c>
      <c r="AM253" s="107">
        <f t="shared" si="19"/>
        <v>5102</v>
      </c>
      <c r="AN253" s="107">
        <f t="shared" si="19"/>
        <v>18411</v>
      </c>
      <c r="AO253" s="107">
        <f t="shared" si="19"/>
        <v>9525</v>
      </c>
      <c r="AP253" s="107">
        <f t="shared" si="19"/>
        <v>1947</v>
      </c>
    </row>
    <row r="254" spans="1:42">
      <c r="A254" s="53">
        <v>2740</v>
      </c>
      <c r="B254" s="54" t="s">
        <v>237</v>
      </c>
      <c r="C254" s="234">
        <f>_xlfn.XLOOKUP($A254,'Change in Proportion Calc'!$A$5:$A$311,'Change in Proportion Calc'!L$5:L$311,"n",0,1)</f>
        <v>2467</v>
      </c>
      <c r="D254" s="234">
        <f>_xlfn.XLOOKUP($A254,'Change in Proportion Calc'!$A$5:$A$311,'Change in Proportion Calc'!M$5:M$311,"n",0,1)</f>
        <v>2467</v>
      </c>
      <c r="E254" s="234">
        <f>_xlfn.XLOOKUP($A254,'Change in Proportion Calc'!$A$5:$A$311,'Change in Proportion Calc'!N$5:N$311,"n",0,1)</f>
        <v>2467</v>
      </c>
      <c r="F254" s="234">
        <f>_xlfn.XLOOKUP($A254,'Change in Proportion Calc'!$A$5:$A$311,'Change in Proportion Calc'!O$5:O$311,"n",0,1)</f>
        <v>2467</v>
      </c>
      <c r="G254" s="234">
        <f>_xlfn.XLOOKUP($A254,'Change in Proportion Calc'!$A$5:$A$311,'Change in Proportion Calc'!P$5:P$311,"n",0,1)</f>
        <v>1898</v>
      </c>
      <c r="H254" s="54"/>
      <c r="I254" s="69">
        <v>-7423</v>
      </c>
      <c r="J254" s="69">
        <v>-7423</v>
      </c>
      <c r="K254" s="69">
        <v>-7423</v>
      </c>
      <c r="L254" s="69">
        <v>-7423</v>
      </c>
      <c r="M254" s="69">
        <v>-6905</v>
      </c>
      <c r="N254" s="54"/>
      <c r="O254" s="69">
        <v>-6783</v>
      </c>
      <c r="P254" s="69">
        <v>-6783</v>
      </c>
      <c r="Q254" s="69">
        <v>-6783</v>
      </c>
      <c r="R254" s="69">
        <v>-5902</v>
      </c>
      <c r="S254" s="69"/>
      <c r="T254" s="69">
        <v>6429</v>
      </c>
      <c r="U254" s="69">
        <v>6429</v>
      </c>
      <c r="V254" s="69">
        <v>5722</v>
      </c>
      <c r="W254" s="54"/>
      <c r="X254" s="69">
        <v>6884</v>
      </c>
      <c r="Y254" s="69">
        <v>6747</v>
      </c>
      <c r="Z254" s="54"/>
      <c r="AA254" s="108">
        <v>-5133</v>
      </c>
      <c r="AB254" s="54"/>
      <c r="AC254" s="108">
        <f>VLOOKUP(A254,'Change in Proportion Calc'!$A$5:$H$311,8,FALSE)+SUMIF($C$5:$AB$5,2026,C254:AB254)</f>
        <v>-3559</v>
      </c>
      <c r="AE254" s="107">
        <f t="shared" si="16"/>
        <v>30664</v>
      </c>
      <c r="AF254" s="107">
        <f t="shared" si="17"/>
        <v>48642</v>
      </c>
      <c r="AH254" s="107"/>
      <c r="AI254" s="108"/>
      <c r="AJ254" s="108"/>
      <c r="AK254" s="213">
        <f t="shared" si="15"/>
        <v>2740</v>
      </c>
      <c r="AL254" s="107">
        <f t="shared" si="19"/>
        <v>1437</v>
      </c>
      <c r="AM254" s="107">
        <f t="shared" si="19"/>
        <v>-6017</v>
      </c>
      <c r="AN254" s="107">
        <f t="shared" si="19"/>
        <v>-10858</v>
      </c>
      <c r="AO254" s="107">
        <f t="shared" si="19"/>
        <v>-4438</v>
      </c>
      <c r="AP254" s="107">
        <f t="shared" si="19"/>
        <v>1898</v>
      </c>
    </row>
    <row r="255" spans="1:42">
      <c r="A255" s="51">
        <v>2346</v>
      </c>
      <c r="B255" s="55" t="s">
        <v>238</v>
      </c>
      <c r="C255" s="234">
        <f>_xlfn.XLOOKUP($A255,'Change in Proportion Calc'!$A$5:$A$311,'Change in Proportion Calc'!L$5:L$311,"n",0,1)</f>
        <v>3658</v>
      </c>
      <c r="D255" s="234">
        <f>_xlfn.XLOOKUP($A255,'Change in Proportion Calc'!$A$5:$A$311,'Change in Proportion Calc'!M$5:M$311,"n",0,1)</f>
        <v>3658</v>
      </c>
      <c r="E255" s="234">
        <f>_xlfn.XLOOKUP($A255,'Change in Proportion Calc'!$A$5:$A$311,'Change in Proportion Calc'!N$5:N$311,"n",0,1)</f>
        <v>3658</v>
      </c>
      <c r="F255" s="234">
        <f>_xlfn.XLOOKUP($A255,'Change in Proportion Calc'!$A$5:$A$311,'Change in Proportion Calc'!O$5:O$311,"n",0,1)</f>
        <v>3658</v>
      </c>
      <c r="G255" s="234">
        <f>_xlfn.XLOOKUP($A255,'Change in Proportion Calc'!$A$5:$A$311,'Change in Proportion Calc'!P$5:P$311,"n",0,1)</f>
        <v>2817</v>
      </c>
      <c r="H255" s="54"/>
      <c r="I255" s="69">
        <v>-20033</v>
      </c>
      <c r="J255" s="69">
        <v>-20033</v>
      </c>
      <c r="K255" s="69">
        <v>-20033</v>
      </c>
      <c r="L255" s="69">
        <v>-20033</v>
      </c>
      <c r="M255" s="69">
        <v>-18633</v>
      </c>
      <c r="N255" s="54"/>
      <c r="O255" s="69">
        <v>-1805</v>
      </c>
      <c r="P255" s="69">
        <v>-1805</v>
      </c>
      <c r="Q255" s="69">
        <v>-1805</v>
      </c>
      <c r="R255" s="69">
        <v>-1568</v>
      </c>
      <c r="S255" s="69"/>
      <c r="T255" s="69">
        <v>20278</v>
      </c>
      <c r="U255" s="69">
        <v>20278</v>
      </c>
      <c r="V255" s="69">
        <v>18049</v>
      </c>
      <c r="W255" s="54"/>
      <c r="X255" s="69">
        <v>-2915</v>
      </c>
      <c r="Y255" s="69">
        <v>-2859</v>
      </c>
      <c r="Z255" s="54"/>
      <c r="AA255" s="108">
        <v>1768</v>
      </c>
      <c r="AB255" s="54"/>
      <c r="AC255" s="108">
        <f>VLOOKUP(A255,'Change in Proportion Calc'!$A$5:$H$311,8,FALSE)+SUMIF($C$5:$AB$5,2026,C255:AB255)</f>
        <v>951</v>
      </c>
      <c r="AE255" s="107">
        <f t="shared" si="16"/>
        <v>55776</v>
      </c>
      <c r="AF255" s="107">
        <f t="shared" si="17"/>
        <v>86769</v>
      </c>
      <c r="AH255" s="107"/>
      <c r="AI255" s="108"/>
      <c r="AJ255" s="108"/>
      <c r="AK255" s="213">
        <f t="shared" si="15"/>
        <v>2346</v>
      </c>
      <c r="AL255" s="107">
        <f t="shared" si="19"/>
        <v>-761</v>
      </c>
      <c r="AM255" s="107">
        <f t="shared" si="19"/>
        <v>-131</v>
      </c>
      <c r="AN255" s="107">
        <f t="shared" si="19"/>
        <v>-17943</v>
      </c>
      <c r="AO255" s="107">
        <f t="shared" si="19"/>
        <v>-14975</v>
      </c>
      <c r="AP255" s="107">
        <f t="shared" si="19"/>
        <v>2817</v>
      </c>
    </row>
    <row r="256" spans="1:42">
      <c r="A256" s="53">
        <v>21150</v>
      </c>
      <c r="B256" s="54" t="s">
        <v>239</v>
      </c>
      <c r="C256" s="234">
        <f>_xlfn.XLOOKUP($A256,'Change in Proportion Calc'!$A$5:$A$311,'Change in Proportion Calc'!L$5:L$311,"n",0,1)</f>
        <v>-59772</v>
      </c>
      <c r="D256" s="234">
        <f>_xlfn.XLOOKUP($A256,'Change in Proportion Calc'!$A$5:$A$311,'Change in Proportion Calc'!M$5:M$311,"n",0,1)</f>
        <v>-59772</v>
      </c>
      <c r="E256" s="234">
        <f>_xlfn.XLOOKUP($A256,'Change in Proportion Calc'!$A$5:$A$311,'Change in Proportion Calc'!N$5:N$311,"n",0,1)</f>
        <v>-59772</v>
      </c>
      <c r="F256" s="234">
        <f>_xlfn.XLOOKUP($A256,'Change in Proportion Calc'!$A$5:$A$311,'Change in Proportion Calc'!O$5:O$311,"n",0,1)</f>
        <v>-59772</v>
      </c>
      <c r="G256" s="234">
        <f>_xlfn.XLOOKUP($A256,'Change in Proportion Calc'!$A$5:$A$311,'Change in Proportion Calc'!P$5:P$311,"n",0,1)</f>
        <v>-46026</v>
      </c>
      <c r="H256" s="54"/>
      <c r="I256" s="69">
        <v>141373</v>
      </c>
      <c r="J256" s="69">
        <v>141373</v>
      </c>
      <c r="K256" s="69">
        <v>141373</v>
      </c>
      <c r="L256" s="69">
        <v>141373</v>
      </c>
      <c r="M256" s="69">
        <v>131478</v>
      </c>
      <c r="N256" s="54"/>
      <c r="O256" s="69">
        <v>13664</v>
      </c>
      <c r="P256" s="69">
        <v>13664</v>
      </c>
      <c r="Q256" s="69">
        <v>13664</v>
      </c>
      <c r="R256" s="69">
        <v>11888</v>
      </c>
      <c r="S256" s="69"/>
      <c r="T256" s="69">
        <v>23764</v>
      </c>
      <c r="U256" s="69">
        <v>23764</v>
      </c>
      <c r="V256" s="69">
        <v>21150</v>
      </c>
      <c r="W256" s="54"/>
      <c r="X256" s="69">
        <v>26727</v>
      </c>
      <c r="Y256" s="69">
        <v>26190</v>
      </c>
      <c r="Z256" s="54"/>
      <c r="AA256" s="108">
        <v>-15822</v>
      </c>
      <c r="AB256" s="54"/>
      <c r="AC256" s="108">
        <f>VLOOKUP(A256,'Change in Proportion Calc'!$A$5:$H$311,8,FALSE)+SUMIF($C$5:$AB$5,2026,C256:AB256)</f>
        <v>129934</v>
      </c>
      <c r="AE256" s="107">
        <f t="shared" si="16"/>
        <v>665917</v>
      </c>
      <c r="AF256" s="107">
        <f t="shared" si="17"/>
        <v>285114</v>
      </c>
      <c r="AH256" s="107"/>
      <c r="AI256" s="108"/>
      <c r="AJ256" s="108"/>
      <c r="AK256" s="213">
        <f t="shared" si="15"/>
        <v>21150</v>
      </c>
      <c r="AL256" s="107">
        <f t="shared" si="19"/>
        <v>145219</v>
      </c>
      <c r="AM256" s="107">
        <f t="shared" si="19"/>
        <v>116415</v>
      </c>
      <c r="AN256" s="107">
        <f t="shared" si="19"/>
        <v>93489</v>
      </c>
      <c r="AO256" s="107">
        <f t="shared" si="19"/>
        <v>71706</v>
      </c>
      <c r="AP256" s="107">
        <f t="shared" si="19"/>
        <v>-46026</v>
      </c>
    </row>
    <row r="257" spans="1:42">
      <c r="A257" s="53">
        <v>4520</v>
      </c>
      <c r="B257" s="54" t="s">
        <v>241</v>
      </c>
      <c r="C257" s="234">
        <f>_xlfn.XLOOKUP($A257,'Change in Proportion Calc'!$A$5:$A$311,'Change in Proportion Calc'!L$5:L$311,"n",0,1)</f>
        <v>-966</v>
      </c>
      <c r="D257" s="234">
        <f>_xlfn.XLOOKUP($A257,'Change in Proportion Calc'!$A$5:$A$311,'Change in Proportion Calc'!M$5:M$311,"n",0,1)</f>
        <v>-966</v>
      </c>
      <c r="E257" s="234">
        <f>_xlfn.XLOOKUP($A257,'Change in Proportion Calc'!$A$5:$A$311,'Change in Proportion Calc'!N$5:N$311,"n",0,1)</f>
        <v>-966</v>
      </c>
      <c r="F257" s="234">
        <f>_xlfn.XLOOKUP($A257,'Change in Proportion Calc'!$A$5:$A$311,'Change in Proportion Calc'!O$5:O$311,"n",0,1)</f>
        <v>-966</v>
      </c>
      <c r="G257" s="234">
        <f>_xlfn.XLOOKUP($A257,'Change in Proportion Calc'!$A$5:$A$311,'Change in Proportion Calc'!P$5:P$311,"n",0,1)</f>
        <v>-742</v>
      </c>
      <c r="H257" s="54"/>
      <c r="I257" s="69">
        <v>-188</v>
      </c>
      <c r="J257" s="69">
        <v>-188</v>
      </c>
      <c r="K257" s="69">
        <v>-188</v>
      </c>
      <c r="L257" s="69">
        <v>-188</v>
      </c>
      <c r="M257" s="69">
        <v>-176</v>
      </c>
      <c r="N257" s="54"/>
      <c r="O257" s="69">
        <v>-2297</v>
      </c>
      <c r="P257" s="69">
        <v>-2297</v>
      </c>
      <c r="Q257" s="69">
        <v>-2297</v>
      </c>
      <c r="R257" s="69">
        <v>-1996</v>
      </c>
      <c r="S257" s="69"/>
      <c r="T257" s="69">
        <v>539</v>
      </c>
      <c r="U257" s="69">
        <v>539</v>
      </c>
      <c r="V257" s="69">
        <v>482</v>
      </c>
      <c r="W257" s="54"/>
      <c r="X257" s="69">
        <v>1701</v>
      </c>
      <c r="Y257" s="69">
        <v>1666</v>
      </c>
      <c r="Z257" s="54"/>
      <c r="AA257" s="108">
        <v>-422</v>
      </c>
      <c r="AB257" s="54"/>
      <c r="AC257" s="108">
        <f>VLOOKUP(A257,'Change in Proportion Calc'!$A$5:$H$311,8,FALSE)+SUMIF($C$5:$AB$5,2026,C257:AB257)</f>
        <v>-1633</v>
      </c>
      <c r="AE257" s="107">
        <f t="shared" si="16"/>
        <v>2687</v>
      </c>
      <c r="AF257" s="107">
        <f t="shared" si="17"/>
        <v>11936</v>
      </c>
      <c r="AH257" s="107"/>
      <c r="AI257" s="108"/>
      <c r="AJ257" s="108"/>
      <c r="AK257" s="213">
        <f t="shared" si="15"/>
        <v>4520</v>
      </c>
      <c r="AL257" s="107">
        <f t="shared" si="19"/>
        <v>-1246</v>
      </c>
      <c r="AM257" s="107">
        <f t="shared" si="19"/>
        <v>-2969</v>
      </c>
      <c r="AN257" s="107">
        <f t="shared" si="19"/>
        <v>-3150</v>
      </c>
      <c r="AO257" s="107">
        <f t="shared" si="19"/>
        <v>-1142</v>
      </c>
      <c r="AP257" s="107">
        <f t="shared" si="19"/>
        <v>-742</v>
      </c>
    </row>
    <row r="258" spans="1:42">
      <c r="A258" s="51">
        <v>9030</v>
      </c>
      <c r="B258" s="55" t="s">
        <v>242</v>
      </c>
      <c r="C258" s="234">
        <f>_xlfn.XLOOKUP($A258,'Change in Proportion Calc'!$A$5:$A$311,'Change in Proportion Calc'!L$5:L$311,"n",0,1)</f>
        <v>-1325</v>
      </c>
      <c r="D258" s="234">
        <f>_xlfn.XLOOKUP($A258,'Change in Proportion Calc'!$A$5:$A$311,'Change in Proportion Calc'!M$5:M$311,"n",0,1)</f>
        <v>-1325</v>
      </c>
      <c r="E258" s="234">
        <f>_xlfn.XLOOKUP($A258,'Change in Proportion Calc'!$A$5:$A$311,'Change in Proportion Calc'!N$5:N$311,"n",0,1)</f>
        <v>-1325</v>
      </c>
      <c r="F258" s="234">
        <f>_xlfn.XLOOKUP($A258,'Change in Proportion Calc'!$A$5:$A$311,'Change in Proportion Calc'!O$5:O$311,"n",0,1)</f>
        <v>-1325</v>
      </c>
      <c r="G258" s="234">
        <f>_xlfn.XLOOKUP($A258,'Change in Proportion Calc'!$A$5:$A$311,'Change in Proportion Calc'!P$5:P$311,"n",0,1)</f>
        <v>-1018</v>
      </c>
      <c r="H258" s="54"/>
      <c r="I258" s="69">
        <v>883</v>
      </c>
      <c r="J258" s="69">
        <v>883</v>
      </c>
      <c r="K258" s="69">
        <v>883</v>
      </c>
      <c r="L258" s="69">
        <v>883</v>
      </c>
      <c r="M258" s="69">
        <v>819</v>
      </c>
      <c r="N258" s="54"/>
      <c r="O258" s="69">
        <v>-19495</v>
      </c>
      <c r="P258" s="69">
        <v>-19495</v>
      </c>
      <c r="Q258" s="69">
        <v>-19495</v>
      </c>
      <c r="R258" s="69">
        <v>-16962</v>
      </c>
      <c r="S258" s="69"/>
      <c r="T258" s="69">
        <v>58</v>
      </c>
      <c r="U258" s="69">
        <v>58</v>
      </c>
      <c r="V258" s="69">
        <v>50</v>
      </c>
      <c r="W258" s="54"/>
      <c r="X258" s="69">
        <v>729</v>
      </c>
      <c r="Y258" s="69">
        <v>714</v>
      </c>
      <c r="Z258" s="54"/>
      <c r="AA258" s="108">
        <v>167</v>
      </c>
      <c r="AB258" s="54"/>
      <c r="AC258" s="108">
        <f>VLOOKUP(A258,'Change in Proportion Calc'!$A$5:$H$311,8,FALSE)+SUMIF($C$5:$AB$5,2026,C258:AB258)</f>
        <v>-18983</v>
      </c>
      <c r="AE258" s="107">
        <f t="shared" si="16"/>
        <v>4290</v>
      </c>
      <c r="AF258" s="107">
        <f t="shared" si="17"/>
        <v>62270</v>
      </c>
      <c r="AH258" s="107"/>
      <c r="AI258" s="108"/>
      <c r="AJ258" s="108"/>
      <c r="AK258" s="213">
        <f t="shared" si="15"/>
        <v>9030</v>
      </c>
      <c r="AL258" s="107">
        <f t="shared" si="19"/>
        <v>-19165</v>
      </c>
      <c r="AM258" s="107">
        <f t="shared" si="19"/>
        <v>-19887</v>
      </c>
      <c r="AN258" s="107">
        <f t="shared" si="19"/>
        <v>-17404</v>
      </c>
      <c r="AO258" s="107">
        <f t="shared" si="19"/>
        <v>-506</v>
      </c>
      <c r="AP258" s="107">
        <f t="shared" si="19"/>
        <v>-1018</v>
      </c>
    </row>
    <row r="259" spans="1:42">
      <c r="A259" s="53">
        <v>20265</v>
      </c>
      <c r="B259" s="54" t="s">
        <v>243</v>
      </c>
      <c r="C259" s="234">
        <f>_xlfn.XLOOKUP($A259,'Change in Proportion Calc'!$A$5:$A$311,'Change in Proportion Calc'!L$5:L$311,"n",0,1)</f>
        <v>-3822</v>
      </c>
      <c r="D259" s="234">
        <f>_xlfn.XLOOKUP($A259,'Change in Proportion Calc'!$A$5:$A$311,'Change in Proportion Calc'!M$5:M$311,"n",0,1)</f>
        <v>-3822</v>
      </c>
      <c r="E259" s="234">
        <f>_xlfn.XLOOKUP($A259,'Change in Proportion Calc'!$A$5:$A$311,'Change in Proportion Calc'!N$5:N$311,"n",0,1)</f>
        <v>-3822</v>
      </c>
      <c r="F259" s="234">
        <f>_xlfn.XLOOKUP($A259,'Change in Proportion Calc'!$A$5:$A$311,'Change in Proportion Calc'!O$5:O$311,"n",0,1)</f>
        <v>-3822</v>
      </c>
      <c r="G259" s="234">
        <f>_xlfn.XLOOKUP($A259,'Change in Proportion Calc'!$A$5:$A$311,'Change in Proportion Calc'!P$5:P$311,"n",0,1)</f>
        <v>-2944</v>
      </c>
      <c r="H259" s="54"/>
      <c r="I259" s="69">
        <v>-3146</v>
      </c>
      <c r="J259" s="69">
        <v>-3146</v>
      </c>
      <c r="K259" s="69">
        <v>-3146</v>
      </c>
      <c r="L259" s="69">
        <v>-3146</v>
      </c>
      <c r="M259" s="69">
        <v>-2924</v>
      </c>
      <c r="N259" s="54"/>
      <c r="O259" s="69">
        <v>31359</v>
      </c>
      <c r="P259" s="69">
        <v>31359</v>
      </c>
      <c r="Q259" s="69">
        <v>31359</v>
      </c>
      <c r="R259" s="69">
        <v>27283</v>
      </c>
      <c r="S259" s="69"/>
      <c r="T259" s="69">
        <v>47042</v>
      </c>
      <c r="U259" s="69">
        <v>47042</v>
      </c>
      <c r="V259" s="69">
        <v>41865</v>
      </c>
      <c r="W259" s="54"/>
      <c r="X259" s="69">
        <v>-26241</v>
      </c>
      <c r="Y259" s="69">
        <v>-25714</v>
      </c>
      <c r="Z259" s="54"/>
      <c r="AA259" s="108">
        <v>16997</v>
      </c>
      <c r="AB259" s="54"/>
      <c r="AC259" s="108">
        <f>VLOOKUP(A259,'Change in Proportion Calc'!$A$5:$H$311,8,FALSE)+SUMIF($C$5:$AB$5,2026,C259:AB259)</f>
        <v>62189</v>
      </c>
      <c r="AE259" s="107">
        <f t="shared" si="16"/>
        <v>178908</v>
      </c>
      <c r="AF259" s="107">
        <f t="shared" si="17"/>
        <v>56308</v>
      </c>
      <c r="AH259" s="107"/>
      <c r="AI259" s="108"/>
      <c r="AJ259" s="108"/>
      <c r="AK259" s="213">
        <f t="shared" si="15"/>
        <v>20265</v>
      </c>
      <c r="AL259" s="107">
        <f t="shared" si="19"/>
        <v>45719</v>
      </c>
      <c r="AM259" s="107">
        <f t="shared" si="19"/>
        <v>66256</v>
      </c>
      <c r="AN259" s="107">
        <f t="shared" si="19"/>
        <v>20315</v>
      </c>
      <c r="AO259" s="107">
        <f t="shared" si="19"/>
        <v>-6746</v>
      </c>
      <c r="AP259" s="107">
        <f t="shared" si="19"/>
        <v>-2944</v>
      </c>
    </row>
    <row r="260" spans="1:42">
      <c r="A260" s="51">
        <v>20307</v>
      </c>
      <c r="B260" s="55" t="s">
        <v>244</v>
      </c>
      <c r="C260" s="234">
        <f>_xlfn.XLOOKUP($A260,'Change in Proportion Calc'!$A$5:$A$311,'Change in Proportion Calc'!L$5:L$311,"n",0,1)</f>
        <v>-12305</v>
      </c>
      <c r="D260" s="234">
        <f>_xlfn.XLOOKUP($A260,'Change in Proportion Calc'!$A$5:$A$311,'Change in Proportion Calc'!M$5:M$311,"n",0,1)</f>
        <v>-12305</v>
      </c>
      <c r="E260" s="234">
        <f>_xlfn.XLOOKUP($A260,'Change in Proportion Calc'!$A$5:$A$311,'Change in Proportion Calc'!N$5:N$311,"n",0,1)</f>
        <v>-12305</v>
      </c>
      <c r="F260" s="234">
        <f>_xlfn.XLOOKUP($A260,'Change in Proportion Calc'!$A$5:$A$311,'Change in Proportion Calc'!O$5:O$311,"n",0,1)</f>
        <v>-12305</v>
      </c>
      <c r="G260" s="234">
        <f>_xlfn.XLOOKUP($A260,'Change in Proportion Calc'!$A$5:$A$311,'Change in Proportion Calc'!P$5:P$311,"n",0,1)</f>
        <v>-9475</v>
      </c>
      <c r="H260" s="54"/>
      <c r="I260" s="69">
        <v>2470</v>
      </c>
      <c r="J260" s="69">
        <v>2470</v>
      </c>
      <c r="K260" s="69">
        <v>2470</v>
      </c>
      <c r="L260" s="69">
        <v>2470</v>
      </c>
      <c r="M260" s="69">
        <v>2299</v>
      </c>
      <c r="N260" s="54"/>
      <c r="O260" s="69">
        <v>5459</v>
      </c>
      <c r="P260" s="69">
        <v>5459</v>
      </c>
      <c r="Q260" s="69">
        <v>5459</v>
      </c>
      <c r="R260" s="69">
        <v>4748</v>
      </c>
      <c r="S260" s="69"/>
      <c r="T260" s="69">
        <v>28246</v>
      </c>
      <c r="U260" s="69">
        <v>28246</v>
      </c>
      <c r="V260" s="69">
        <v>25139</v>
      </c>
      <c r="W260" s="54"/>
      <c r="X260" s="69">
        <v>30776</v>
      </c>
      <c r="Y260" s="69">
        <v>30160</v>
      </c>
      <c r="Z260" s="54"/>
      <c r="AA260" s="108">
        <v>3281</v>
      </c>
      <c r="AB260" s="54"/>
      <c r="AC260" s="108">
        <f>VLOOKUP(A260,'Change in Proportion Calc'!$A$5:$H$311,8,FALSE)+SUMIF($C$5:$AB$5,2026,C260:AB260)</f>
        <v>57927</v>
      </c>
      <c r="AE260" s="107">
        <f t="shared" si="16"/>
        <v>108920</v>
      </c>
      <c r="AF260" s="107">
        <f t="shared" si="17"/>
        <v>58695</v>
      </c>
      <c r="AH260" s="107"/>
      <c r="AI260" s="108"/>
      <c r="AJ260" s="108"/>
      <c r="AK260" s="213">
        <f t="shared" si="15"/>
        <v>20307</v>
      </c>
      <c r="AL260" s="107">
        <f t="shared" si="19"/>
        <v>54030</v>
      </c>
      <c r="AM260" s="107">
        <f t="shared" si="19"/>
        <v>20763</v>
      </c>
      <c r="AN260" s="107">
        <f t="shared" si="19"/>
        <v>-5087</v>
      </c>
      <c r="AO260" s="107">
        <f t="shared" si="19"/>
        <v>-10006</v>
      </c>
      <c r="AP260" s="107">
        <f t="shared" si="19"/>
        <v>-9475</v>
      </c>
    </row>
    <row r="261" spans="1:42">
      <c r="A261" s="53">
        <v>3320</v>
      </c>
      <c r="B261" s="54" t="s">
        <v>245</v>
      </c>
      <c r="C261" s="234">
        <f>_xlfn.XLOOKUP($A261,'Change in Proportion Calc'!$A$5:$A$311,'Change in Proportion Calc'!L$5:L$311,"n",0,1)</f>
        <v>-2842</v>
      </c>
      <c r="D261" s="234">
        <f>_xlfn.XLOOKUP($A261,'Change in Proportion Calc'!$A$5:$A$311,'Change in Proportion Calc'!M$5:M$311,"n",0,1)</f>
        <v>-2842</v>
      </c>
      <c r="E261" s="234">
        <f>_xlfn.XLOOKUP($A261,'Change in Proportion Calc'!$A$5:$A$311,'Change in Proportion Calc'!N$5:N$311,"n",0,1)</f>
        <v>-2842</v>
      </c>
      <c r="F261" s="234">
        <f>_xlfn.XLOOKUP($A261,'Change in Proportion Calc'!$A$5:$A$311,'Change in Proportion Calc'!O$5:O$311,"n",0,1)</f>
        <v>-2842</v>
      </c>
      <c r="G261" s="234">
        <f>_xlfn.XLOOKUP($A261,'Change in Proportion Calc'!$A$5:$A$311,'Change in Proportion Calc'!P$5:P$311,"n",0,1)</f>
        <v>-2190</v>
      </c>
      <c r="H261" s="54"/>
      <c r="I261" s="69">
        <v>130834</v>
      </c>
      <c r="J261" s="69">
        <v>130834</v>
      </c>
      <c r="K261" s="69">
        <v>130834</v>
      </c>
      <c r="L261" s="69">
        <v>130834</v>
      </c>
      <c r="M261" s="69">
        <v>121676</v>
      </c>
      <c r="N261" s="54"/>
      <c r="O261" s="69">
        <v>-95317</v>
      </c>
      <c r="P261" s="69">
        <v>-95317</v>
      </c>
      <c r="Q261" s="69">
        <v>-95317</v>
      </c>
      <c r="R261" s="69">
        <v>-82928</v>
      </c>
      <c r="S261" s="69"/>
      <c r="T261" s="69">
        <v>-81799</v>
      </c>
      <c r="U261" s="69">
        <v>-81799</v>
      </c>
      <c r="V261" s="69">
        <v>-72799</v>
      </c>
      <c r="W261" s="54"/>
      <c r="X261" s="69">
        <v>70299</v>
      </c>
      <c r="Y261" s="69">
        <v>68892</v>
      </c>
      <c r="Z261" s="54"/>
      <c r="AA261" s="108">
        <v>-151136</v>
      </c>
      <c r="AB261" s="54"/>
      <c r="AC261" s="108">
        <f>VLOOKUP(A261,'Change in Proportion Calc'!$A$5:$H$311,8,FALSE)+SUMIF($C$5:$AB$5,2026,C261:AB261)</f>
        <v>-129961</v>
      </c>
      <c r="AE261" s="107">
        <f t="shared" si="16"/>
        <v>583070</v>
      </c>
      <c r="AF261" s="107">
        <f t="shared" si="17"/>
        <v>441718</v>
      </c>
      <c r="AH261" s="107"/>
      <c r="AI261" s="108"/>
      <c r="AJ261" s="108"/>
      <c r="AK261" s="213">
        <f t="shared" si="15"/>
        <v>3320</v>
      </c>
      <c r="AL261" s="107">
        <f t="shared" si="19"/>
        <v>19768</v>
      </c>
      <c r="AM261" s="107">
        <f t="shared" si="19"/>
        <v>-40124</v>
      </c>
      <c r="AN261" s="107">
        <f t="shared" si="19"/>
        <v>45064</v>
      </c>
      <c r="AO261" s="107">
        <f t="shared" si="19"/>
        <v>118834</v>
      </c>
      <c r="AP261" s="107">
        <f t="shared" si="19"/>
        <v>-2190</v>
      </c>
    </row>
    <row r="262" spans="1:42">
      <c r="A262" s="51">
        <v>20415</v>
      </c>
      <c r="B262" s="55" t="s">
        <v>246</v>
      </c>
      <c r="C262" s="234">
        <f>_xlfn.XLOOKUP($A262,'Change in Proportion Calc'!$A$5:$A$311,'Change in Proportion Calc'!L$5:L$311,"n",0,1)</f>
        <v>16</v>
      </c>
      <c r="D262" s="234">
        <f>_xlfn.XLOOKUP($A262,'Change in Proportion Calc'!$A$5:$A$311,'Change in Proportion Calc'!M$5:M$311,"n",0,1)</f>
        <v>16</v>
      </c>
      <c r="E262" s="234">
        <f>_xlfn.XLOOKUP($A262,'Change in Proportion Calc'!$A$5:$A$311,'Change in Proportion Calc'!N$5:N$311,"n",0,1)</f>
        <v>16</v>
      </c>
      <c r="F262" s="234">
        <f>_xlfn.XLOOKUP($A262,'Change in Proportion Calc'!$A$5:$A$311,'Change in Proportion Calc'!O$5:O$311,"n",0,1)</f>
        <v>16</v>
      </c>
      <c r="G262" s="234">
        <f>_xlfn.XLOOKUP($A262,'Change in Proportion Calc'!$A$5:$A$311,'Change in Proportion Calc'!P$5:P$311,"n",0,1)</f>
        <v>12</v>
      </c>
      <c r="H262" s="54"/>
      <c r="I262" s="69">
        <v>-6360</v>
      </c>
      <c r="J262" s="69">
        <v>-6360</v>
      </c>
      <c r="K262" s="69">
        <v>-6360</v>
      </c>
      <c r="L262" s="69">
        <v>-6360</v>
      </c>
      <c r="M262" s="69">
        <v>-5917</v>
      </c>
      <c r="N262" s="54"/>
      <c r="O262" s="69">
        <v>11560</v>
      </c>
      <c r="P262" s="69">
        <v>11560</v>
      </c>
      <c r="Q262" s="69">
        <v>11560</v>
      </c>
      <c r="R262" s="69">
        <v>10059</v>
      </c>
      <c r="S262" s="69"/>
      <c r="T262" s="69">
        <v>31834</v>
      </c>
      <c r="U262" s="69">
        <v>31834</v>
      </c>
      <c r="V262" s="69">
        <v>28330</v>
      </c>
      <c r="W262" s="54"/>
      <c r="X262" s="69">
        <v>6155</v>
      </c>
      <c r="Y262" s="69">
        <v>6033</v>
      </c>
      <c r="Z262" s="54"/>
      <c r="AA262" s="108">
        <v>-20279</v>
      </c>
      <c r="AB262" s="54"/>
      <c r="AC262" s="108">
        <f>VLOOKUP(A262,'Change in Proportion Calc'!$A$5:$H$311,8,FALSE)+SUMIF($C$5:$AB$5,2026,C262:AB262)</f>
        <v>22926</v>
      </c>
      <c r="AE262" s="107">
        <f t="shared" si="16"/>
        <v>99452</v>
      </c>
      <c r="AF262" s="107">
        <f t="shared" si="17"/>
        <v>24997</v>
      </c>
      <c r="AH262" s="107"/>
      <c r="AI262" s="108"/>
      <c r="AJ262" s="108"/>
      <c r="AK262" s="213">
        <f t="shared" si="15"/>
        <v>20415</v>
      </c>
      <c r="AL262" s="107">
        <f t="shared" si="19"/>
        <v>43083</v>
      </c>
      <c r="AM262" s="107">
        <f t="shared" si="19"/>
        <v>33546</v>
      </c>
      <c r="AN262" s="107">
        <f t="shared" si="19"/>
        <v>3715</v>
      </c>
      <c r="AO262" s="107">
        <f t="shared" si="19"/>
        <v>-5901</v>
      </c>
      <c r="AP262" s="107">
        <f t="shared" si="19"/>
        <v>12</v>
      </c>
    </row>
    <row r="263" spans="1:42">
      <c r="A263" s="53">
        <v>20435</v>
      </c>
      <c r="B263" s="54" t="s">
        <v>407</v>
      </c>
      <c r="C263" s="234">
        <f>_xlfn.XLOOKUP($A263,'Change in Proportion Calc'!$A$5:$A$311,'Change in Proportion Calc'!L$5:L$311,"n",0,1)</f>
        <v>-12628</v>
      </c>
      <c r="D263" s="234">
        <f>_xlfn.XLOOKUP($A263,'Change in Proportion Calc'!$A$5:$A$311,'Change in Proportion Calc'!M$5:M$311,"n",0,1)</f>
        <v>-12628</v>
      </c>
      <c r="E263" s="234">
        <f>_xlfn.XLOOKUP($A263,'Change in Proportion Calc'!$A$5:$A$311,'Change in Proportion Calc'!N$5:N$311,"n",0,1)</f>
        <v>-12628</v>
      </c>
      <c r="F263" s="234">
        <f>_xlfn.XLOOKUP($A263,'Change in Proportion Calc'!$A$5:$A$311,'Change in Proportion Calc'!O$5:O$311,"n",0,1)</f>
        <v>-12628</v>
      </c>
      <c r="G263" s="234">
        <f>_xlfn.XLOOKUP($A263,'Change in Proportion Calc'!$A$5:$A$311,'Change in Proportion Calc'!P$5:P$311,"n",0,1)</f>
        <v>-9726</v>
      </c>
      <c r="H263" s="54"/>
      <c r="I263" s="69">
        <v>-31284</v>
      </c>
      <c r="J263" s="69">
        <v>-31284</v>
      </c>
      <c r="K263" s="69">
        <v>-31284</v>
      </c>
      <c r="L263" s="69">
        <v>-31284</v>
      </c>
      <c r="M263" s="69">
        <v>-29094</v>
      </c>
      <c r="N263" s="54"/>
      <c r="O263" s="69">
        <v>22306</v>
      </c>
      <c r="P263" s="69">
        <v>22306</v>
      </c>
      <c r="Q263" s="69">
        <v>22306</v>
      </c>
      <c r="R263" s="69">
        <v>19408</v>
      </c>
      <c r="S263" s="69"/>
      <c r="T263" s="69">
        <v>44380</v>
      </c>
      <c r="U263" s="69">
        <v>44380</v>
      </c>
      <c r="V263" s="69">
        <v>39499</v>
      </c>
      <c r="W263" s="54"/>
      <c r="X263" s="69">
        <v>1053</v>
      </c>
      <c r="Y263" s="69">
        <v>1031</v>
      </c>
      <c r="Z263" s="54"/>
      <c r="AA263" s="108">
        <v>18514</v>
      </c>
      <c r="AB263" s="54"/>
      <c r="AC263" s="108">
        <f>VLOOKUP(A263,'Change in Proportion Calc'!$A$5:$H$311,8,FALSE)+SUMIF($C$5:$AB$5,2026,C263:AB263)</f>
        <v>42341</v>
      </c>
      <c r="AE263" s="107">
        <f t="shared" si="16"/>
        <v>148930</v>
      </c>
      <c r="AF263" s="107">
        <f t="shared" si="17"/>
        <v>183184</v>
      </c>
      <c r="AH263" s="107"/>
      <c r="AI263" s="108"/>
      <c r="AJ263" s="108"/>
      <c r="AK263" s="213">
        <f t="shared" si="15"/>
        <v>20435</v>
      </c>
      <c r="AL263" s="107">
        <f t="shared" si="19"/>
        <v>23805</v>
      </c>
      <c r="AM263" s="107">
        <f t="shared" si="19"/>
        <v>17893</v>
      </c>
      <c r="AN263" s="107">
        <f t="shared" si="19"/>
        <v>-24504</v>
      </c>
      <c r="AO263" s="107">
        <f t="shared" si="19"/>
        <v>-41722</v>
      </c>
      <c r="AP263" s="107">
        <f t="shared" si="19"/>
        <v>-9726</v>
      </c>
    </row>
    <row r="264" spans="1:42">
      <c r="A264" s="51">
        <v>20062</v>
      </c>
      <c r="B264" s="55" t="s">
        <v>247</v>
      </c>
      <c r="C264" s="234">
        <f>_xlfn.XLOOKUP($A264,'Change in Proportion Calc'!$A$5:$A$311,'Change in Proportion Calc'!L$5:L$311,"n",0,1)</f>
        <v>-10896</v>
      </c>
      <c r="D264" s="234">
        <f>_xlfn.XLOOKUP($A264,'Change in Proportion Calc'!$A$5:$A$311,'Change in Proportion Calc'!M$5:M$311,"n",0,1)</f>
        <v>-10896</v>
      </c>
      <c r="E264" s="234">
        <f>_xlfn.XLOOKUP($A264,'Change in Proportion Calc'!$A$5:$A$311,'Change in Proportion Calc'!N$5:N$311,"n",0,1)</f>
        <v>-10896</v>
      </c>
      <c r="F264" s="234">
        <f>_xlfn.XLOOKUP($A264,'Change in Proportion Calc'!$A$5:$A$311,'Change in Proportion Calc'!O$5:O$311,"n",0,1)</f>
        <v>-10896</v>
      </c>
      <c r="G264" s="234">
        <f>_xlfn.XLOOKUP($A264,'Change in Proportion Calc'!$A$5:$A$311,'Change in Proportion Calc'!P$5:P$311,"n",0,1)</f>
        <v>-8391</v>
      </c>
      <c r="H264" s="54"/>
      <c r="I264" s="69">
        <v>-161746</v>
      </c>
      <c r="J264" s="69">
        <v>-161746</v>
      </c>
      <c r="K264" s="69">
        <v>-161746</v>
      </c>
      <c r="L264" s="69">
        <v>-161746</v>
      </c>
      <c r="M264" s="69">
        <v>-150423</v>
      </c>
      <c r="N264" s="54"/>
      <c r="O264" s="69">
        <v>-13277</v>
      </c>
      <c r="P264" s="69">
        <v>-13277</v>
      </c>
      <c r="Q264" s="69">
        <v>-13277</v>
      </c>
      <c r="R264" s="69">
        <v>-11549</v>
      </c>
      <c r="S264" s="69"/>
      <c r="T264" s="69">
        <v>-144182</v>
      </c>
      <c r="U264" s="69">
        <v>-144182</v>
      </c>
      <c r="V264" s="69">
        <v>-128324</v>
      </c>
      <c r="W264" s="54"/>
      <c r="X264" s="69">
        <v>101237</v>
      </c>
      <c r="Y264" s="69">
        <v>99211</v>
      </c>
      <c r="Z264" s="54"/>
      <c r="AA264" s="108">
        <v>5217</v>
      </c>
      <c r="AB264" s="54"/>
      <c r="AC264" s="108">
        <f>VLOOKUP(A264,'Change in Proportion Calc'!$A$5:$H$311,8,FALSE)+SUMIF($C$5:$AB$5,2026,C264:AB264)</f>
        <v>-223647</v>
      </c>
      <c r="AE264" s="107">
        <f t="shared" si="16"/>
        <v>99211</v>
      </c>
      <c r="AF264" s="107">
        <f t="shared" si="17"/>
        <v>998245</v>
      </c>
      <c r="AH264" s="107"/>
      <c r="AI264" s="108"/>
      <c r="AJ264" s="108"/>
      <c r="AK264" s="213">
        <f t="shared" ref="AK264:AK313" si="20">+A264</f>
        <v>20062</v>
      </c>
      <c r="AL264" s="107">
        <f t="shared" si="19"/>
        <v>-230890</v>
      </c>
      <c r="AM264" s="107">
        <f t="shared" si="19"/>
        <v>-314243</v>
      </c>
      <c r="AN264" s="107">
        <f t="shared" si="19"/>
        <v>-184191</v>
      </c>
      <c r="AO264" s="107">
        <f t="shared" si="19"/>
        <v>-161319</v>
      </c>
      <c r="AP264" s="107">
        <f t="shared" si="19"/>
        <v>-8391</v>
      </c>
    </row>
    <row r="265" spans="1:42">
      <c r="A265" s="51">
        <v>3410</v>
      </c>
      <c r="B265" s="55" t="s">
        <v>457</v>
      </c>
      <c r="C265" s="234">
        <f>_xlfn.XLOOKUP($A265,'Change in Proportion Calc'!$A$5:$A$311,'Change in Proportion Calc'!L$5:L$311,"n",0,1)</f>
        <v>18352</v>
      </c>
      <c r="D265" s="234">
        <f>_xlfn.XLOOKUP($A265,'Change in Proportion Calc'!$A$5:$A$311,'Change in Proportion Calc'!M$5:M$311,"n",0,1)</f>
        <v>18352</v>
      </c>
      <c r="E265" s="234">
        <f>_xlfn.XLOOKUP($A265,'Change in Proportion Calc'!$A$5:$A$311,'Change in Proportion Calc'!N$5:N$311,"n",0,1)</f>
        <v>18352</v>
      </c>
      <c r="F265" s="234">
        <f>_xlfn.XLOOKUP($A265,'Change in Proportion Calc'!$A$5:$A$311,'Change in Proportion Calc'!O$5:O$311,"n",0,1)</f>
        <v>18352</v>
      </c>
      <c r="G265" s="234">
        <f>_xlfn.XLOOKUP($A265,'Change in Proportion Calc'!$A$5:$A$311,'Change in Proportion Calc'!P$5:P$311,"n",0,1)</f>
        <v>14133</v>
      </c>
      <c r="H265" s="54"/>
      <c r="I265" s="69">
        <v>18873</v>
      </c>
      <c r="J265" s="69">
        <v>18873</v>
      </c>
      <c r="K265" s="69">
        <v>18873</v>
      </c>
      <c r="L265" s="69">
        <v>18873</v>
      </c>
      <c r="M265" s="69">
        <v>17549</v>
      </c>
      <c r="N265" s="54"/>
      <c r="O265" s="69"/>
      <c r="P265" s="69"/>
      <c r="Q265" s="69"/>
      <c r="R265" s="69"/>
      <c r="S265" s="69"/>
      <c r="T265" s="69"/>
      <c r="U265" s="69"/>
      <c r="V265" s="69"/>
      <c r="W265" s="54"/>
      <c r="X265" s="69"/>
      <c r="Y265" s="69"/>
      <c r="Z265" s="54"/>
      <c r="AA265" s="108"/>
      <c r="AB265" s="54"/>
      <c r="AC265" s="108">
        <f>VLOOKUP(A265,'Change in Proportion Calc'!$A$5:$H$311,8,FALSE)+SUMIF($C$5:$AB$5,2026,C265:AB265)</f>
        <v>37225</v>
      </c>
      <c r="AE265" s="107">
        <f t="shared" ref="AE265:AE313" si="21">IF(SUM(C265:G265)&gt;0,SUM(C265:G265))+IF(SUM(J265:M265)&gt;0,SUM(J265:M265),0)+IF(SUM(U265:V265)&gt;0,SUM(U265:V265),0)+IF(SUM(Y265)&gt;0,SUM(Y265),0)+IF(SUM(P265:R265)&gt;0,SUM(P265:R265),0)</f>
        <v>161709</v>
      </c>
      <c r="AF265" s="107">
        <f t="shared" ref="AF265:AF313" si="22">+IF(SUM(C265:G265)&lt;0,-SUM(C265:G265),0)+IF(SUM(J265:M265)&lt;0,-SUM(J265:M265),0)+IF(SUM(U265:V265)&lt;0,-SUM(U265:V265),0)+IF(SUM(Y265)&lt;0,-SUM(Y265),0)+IF(SUM(P265:R265)&lt;0,-SUM(P265:R265),0)</f>
        <v>0</v>
      </c>
      <c r="AH265" s="107"/>
      <c r="AI265" s="108"/>
      <c r="AJ265" s="108"/>
      <c r="AK265" s="213">
        <f t="shared" si="20"/>
        <v>3410</v>
      </c>
      <c r="AL265" s="107">
        <f t="shared" si="19"/>
        <v>37225</v>
      </c>
      <c r="AM265" s="107">
        <f t="shared" si="19"/>
        <v>37225</v>
      </c>
      <c r="AN265" s="107">
        <f t="shared" si="19"/>
        <v>37225</v>
      </c>
      <c r="AO265" s="107">
        <f t="shared" si="19"/>
        <v>35901</v>
      </c>
      <c r="AP265" s="107">
        <f t="shared" si="19"/>
        <v>14133</v>
      </c>
    </row>
    <row r="266" spans="1:42">
      <c r="A266" s="53">
        <v>6020</v>
      </c>
      <c r="B266" s="54" t="s">
        <v>248</v>
      </c>
      <c r="C266" s="234">
        <f>_xlfn.XLOOKUP($A266,'Change in Proportion Calc'!$A$5:$A$311,'Change in Proportion Calc'!L$5:L$311,"n",0,1)</f>
        <v>-7582</v>
      </c>
      <c r="D266" s="234">
        <f>_xlfn.XLOOKUP($A266,'Change in Proportion Calc'!$A$5:$A$311,'Change in Proportion Calc'!M$5:M$311,"n",0,1)</f>
        <v>-7582</v>
      </c>
      <c r="E266" s="234">
        <f>_xlfn.XLOOKUP($A266,'Change in Proportion Calc'!$A$5:$A$311,'Change in Proportion Calc'!N$5:N$311,"n",0,1)</f>
        <v>-7582</v>
      </c>
      <c r="F266" s="234">
        <f>_xlfn.XLOOKUP($A266,'Change in Proportion Calc'!$A$5:$A$311,'Change in Proportion Calc'!O$5:O$311,"n",0,1)</f>
        <v>-7582</v>
      </c>
      <c r="G266" s="234">
        <f>_xlfn.XLOOKUP($A266,'Change in Proportion Calc'!$A$5:$A$311,'Change in Proportion Calc'!P$5:P$311,"n",0,1)</f>
        <v>-5839</v>
      </c>
      <c r="H266" s="54"/>
      <c r="I266" s="69">
        <v>-16502</v>
      </c>
      <c r="J266" s="69">
        <v>-16502</v>
      </c>
      <c r="K266" s="69">
        <v>-16502</v>
      </c>
      <c r="L266" s="69">
        <v>-16502</v>
      </c>
      <c r="M266" s="69">
        <v>-15346</v>
      </c>
      <c r="N266" s="54"/>
      <c r="O266" s="69">
        <v>8503</v>
      </c>
      <c r="P266" s="69">
        <v>8503</v>
      </c>
      <c r="Q266" s="69">
        <v>8503</v>
      </c>
      <c r="R266" s="69">
        <v>7399</v>
      </c>
      <c r="S266" s="69"/>
      <c r="T266" s="69">
        <v>-15469</v>
      </c>
      <c r="U266" s="69">
        <v>-15469</v>
      </c>
      <c r="V266" s="69">
        <v>-13769</v>
      </c>
      <c r="W266" s="54"/>
      <c r="X266" s="69">
        <v>18628</v>
      </c>
      <c r="Y266" s="69">
        <v>18253</v>
      </c>
      <c r="Z266" s="54"/>
      <c r="AA266" s="108">
        <v>-3536</v>
      </c>
      <c r="AB266" s="54"/>
      <c r="AC266" s="108">
        <f>VLOOKUP(A266,'Change in Proportion Calc'!$A$5:$H$311,8,FALSE)+SUMIF($C$5:$AB$5,2026,C266:AB266)</f>
        <v>-15958</v>
      </c>
      <c r="AE266" s="107">
        <f t="shared" si="21"/>
        <v>42658</v>
      </c>
      <c r="AF266" s="107">
        <f t="shared" si="22"/>
        <v>130257</v>
      </c>
      <c r="AH266" s="107"/>
      <c r="AI266" s="108"/>
      <c r="AJ266" s="108"/>
      <c r="AK266" s="213">
        <f t="shared" si="20"/>
        <v>6020</v>
      </c>
      <c r="AL266" s="107">
        <f t="shared" si="19"/>
        <v>-12797</v>
      </c>
      <c r="AM266" s="107">
        <f t="shared" si="19"/>
        <v>-29350</v>
      </c>
      <c r="AN266" s="107">
        <f t="shared" si="19"/>
        <v>-16685</v>
      </c>
      <c r="AO266" s="107">
        <f t="shared" si="19"/>
        <v>-22928</v>
      </c>
      <c r="AP266" s="107">
        <f t="shared" si="19"/>
        <v>-5839</v>
      </c>
    </row>
    <row r="267" spans="1:42">
      <c r="A267" s="51">
        <v>2394</v>
      </c>
      <c r="B267" s="55" t="s">
        <v>249</v>
      </c>
      <c r="C267" s="234">
        <f>_xlfn.XLOOKUP($A267,'Change in Proportion Calc'!$A$5:$A$311,'Change in Proportion Calc'!L$5:L$311,"n",0,1)</f>
        <v>11576</v>
      </c>
      <c r="D267" s="234">
        <f>_xlfn.XLOOKUP($A267,'Change in Proportion Calc'!$A$5:$A$311,'Change in Proportion Calc'!M$5:M$311,"n",0,1)</f>
        <v>11576</v>
      </c>
      <c r="E267" s="234">
        <f>_xlfn.XLOOKUP($A267,'Change in Proportion Calc'!$A$5:$A$311,'Change in Proportion Calc'!N$5:N$311,"n",0,1)</f>
        <v>11576</v>
      </c>
      <c r="F267" s="234">
        <f>_xlfn.XLOOKUP($A267,'Change in Proportion Calc'!$A$5:$A$311,'Change in Proportion Calc'!O$5:O$311,"n",0,1)</f>
        <v>11576</v>
      </c>
      <c r="G267" s="234">
        <f>_xlfn.XLOOKUP($A267,'Change in Proportion Calc'!$A$5:$A$311,'Change in Proportion Calc'!P$5:P$311,"n",0,1)</f>
        <v>8916</v>
      </c>
      <c r="H267" s="54"/>
      <c r="I267" s="69">
        <v>8226</v>
      </c>
      <c r="J267" s="69">
        <v>8226</v>
      </c>
      <c r="K267" s="69">
        <v>8226</v>
      </c>
      <c r="L267" s="69">
        <v>8226</v>
      </c>
      <c r="M267" s="69">
        <v>7648</v>
      </c>
      <c r="N267" s="54"/>
      <c r="O267" s="69">
        <v>-6734</v>
      </c>
      <c r="P267" s="69">
        <v>-6734</v>
      </c>
      <c r="Q267" s="69">
        <v>-6734</v>
      </c>
      <c r="R267" s="69">
        <v>-5860</v>
      </c>
      <c r="S267" s="69"/>
      <c r="T267" s="69">
        <v>23151</v>
      </c>
      <c r="U267" s="69">
        <v>23151</v>
      </c>
      <c r="V267" s="69">
        <v>20602</v>
      </c>
      <c r="W267" s="54"/>
      <c r="X267" s="69">
        <v>8342</v>
      </c>
      <c r="Y267" s="69">
        <v>8175</v>
      </c>
      <c r="Z267" s="54"/>
      <c r="AA267" s="108">
        <v>4125</v>
      </c>
      <c r="AB267" s="54"/>
      <c r="AC267" s="108">
        <f>VLOOKUP(A267,'Change in Proportion Calc'!$A$5:$H$311,8,FALSE)+SUMIF($C$5:$AB$5,2026,C267:AB267)</f>
        <v>48686</v>
      </c>
      <c r="AE267" s="107">
        <f t="shared" si="21"/>
        <v>139474</v>
      </c>
      <c r="AF267" s="107">
        <f t="shared" si="22"/>
        <v>19328</v>
      </c>
      <c r="AH267" s="107"/>
      <c r="AI267" s="108"/>
      <c r="AJ267" s="108"/>
      <c r="AK267" s="213">
        <f t="shared" si="20"/>
        <v>2394</v>
      </c>
      <c r="AL267" s="107">
        <f t="shared" si="19"/>
        <v>44394</v>
      </c>
      <c r="AM267" s="107">
        <f t="shared" si="19"/>
        <v>33670</v>
      </c>
      <c r="AN267" s="107">
        <f t="shared" si="19"/>
        <v>13942</v>
      </c>
      <c r="AO267" s="107">
        <f t="shared" si="19"/>
        <v>19224</v>
      </c>
      <c r="AP267" s="107">
        <f t="shared" si="19"/>
        <v>8916</v>
      </c>
    </row>
    <row r="268" spans="1:42">
      <c r="A268" s="53">
        <v>5015</v>
      </c>
      <c r="B268" s="54" t="s">
        <v>250</v>
      </c>
      <c r="C268" s="234">
        <f>_xlfn.XLOOKUP($A268,'Change in Proportion Calc'!$A$5:$A$311,'Change in Proportion Calc'!L$5:L$311,"n",0,1)</f>
        <v>-5482</v>
      </c>
      <c r="D268" s="234">
        <f>_xlfn.XLOOKUP($A268,'Change in Proportion Calc'!$A$5:$A$311,'Change in Proportion Calc'!M$5:M$311,"n",0,1)</f>
        <v>-5482</v>
      </c>
      <c r="E268" s="234">
        <f>_xlfn.XLOOKUP($A268,'Change in Proportion Calc'!$A$5:$A$311,'Change in Proportion Calc'!N$5:N$311,"n",0,1)</f>
        <v>-5482</v>
      </c>
      <c r="F268" s="234">
        <f>_xlfn.XLOOKUP($A268,'Change in Proportion Calc'!$A$5:$A$311,'Change in Proportion Calc'!O$5:O$311,"n",0,1)</f>
        <v>-5482</v>
      </c>
      <c r="G268" s="234">
        <f>_xlfn.XLOOKUP($A268,'Change in Proportion Calc'!$A$5:$A$311,'Change in Proportion Calc'!P$5:P$311,"n",0,1)</f>
        <v>-4221</v>
      </c>
      <c r="H268" s="54"/>
      <c r="I268" s="69">
        <v>-11896</v>
      </c>
      <c r="J268" s="69">
        <v>-11896</v>
      </c>
      <c r="K268" s="69">
        <v>-11896</v>
      </c>
      <c r="L268" s="69">
        <v>-11896</v>
      </c>
      <c r="M268" s="69">
        <v>-11061</v>
      </c>
      <c r="N268" s="54"/>
      <c r="O268" s="69">
        <v>-26394</v>
      </c>
      <c r="P268" s="69">
        <v>-26394</v>
      </c>
      <c r="Q268" s="69">
        <v>-26394</v>
      </c>
      <c r="R268" s="69">
        <v>-22965</v>
      </c>
      <c r="S268" s="69"/>
      <c r="T268" s="69">
        <v>-12672</v>
      </c>
      <c r="U268" s="69">
        <v>-12672</v>
      </c>
      <c r="V268" s="69">
        <v>-11278</v>
      </c>
      <c r="W268" s="54"/>
      <c r="X268" s="69">
        <v>22353</v>
      </c>
      <c r="Y268" s="69">
        <v>21906</v>
      </c>
      <c r="Z268" s="54"/>
      <c r="AA268" s="108">
        <v>11780</v>
      </c>
      <c r="AB268" s="54"/>
      <c r="AC268" s="108">
        <f>VLOOKUP(A268,'Change in Proportion Calc'!$A$5:$H$311,8,FALSE)+SUMIF($C$5:$AB$5,2026,C268:AB268)</f>
        <v>-22311</v>
      </c>
      <c r="AE268" s="107">
        <f t="shared" si="21"/>
        <v>21906</v>
      </c>
      <c r="AF268" s="107">
        <f t="shared" si="22"/>
        <v>172601</v>
      </c>
      <c r="AH268" s="107"/>
      <c r="AI268" s="108"/>
      <c r="AJ268" s="108"/>
      <c r="AK268" s="213">
        <f t="shared" si="20"/>
        <v>5015</v>
      </c>
      <c r="AL268" s="107">
        <f t="shared" si="19"/>
        <v>-34538</v>
      </c>
      <c r="AM268" s="107">
        <f t="shared" si="19"/>
        <v>-55050</v>
      </c>
      <c r="AN268" s="107">
        <f t="shared" si="19"/>
        <v>-40343</v>
      </c>
      <c r="AO268" s="107">
        <f t="shared" si="19"/>
        <v>-16543</v>
      </c>
      <c r="AP268" s="107">
        <f t="shared" si="19"/>
        <v>-4221</v>
      </c>
    </row>
    <row r="269" spans="1:42">
      <c r="A269" s="51">
        <v>29408</v>
      </c>
      <c r="B269" s="55" t="s">
        <v>251</v>
      </c>
      <c r="C269" s="234">
        <f>_xlfn.XLOOKUP($A269,'Change in Proportion Calc'!$A$5:$A$311,'Change in Proportion Calc'!L$5:L$311,"n",0,1)</f>
        <v>3251</v>
      </c>
      <c r="D269" s="234">
        <f>_xlfn.XLOOKUP($A269,'Change in Proportion Calc'!$A$5:$A$311,'Change in Proportion Calc'!M$5:M$311,"n",0,1)</f>
        <v>3251</v>
      </c>
      <c r="E269" s="234">
        <f>_xlfn.XLOOKUP($A269,'Change in Proportion Calc'!$A$5:$A$311,'Change in Proportion Calc'!N$5:N$311,"n",0,1)</f>
        <v>3251</v>
      </c>
      <c r="F269" s="234">
        <f>_xlfn.XLOOKUP($A269,'Change in Proportion Calc'!$A$5:$A$311,'Change in Proportion Calc'!O$5:O$311,"n",0,1)</f>
        <v>3251</v>
      </c>
      <c r="G269" s="234">
        <f>_xlfn.XLOOKUP($A269,'Change in Proportion Calc'!$A$5:$A$311,'Change in Proportion Calc'!P$5:P$311,"n",0,1)</f>
        <v>2501</v>
      </c>
      <c r="H269" s="54"/>
      <c r="I269" s="69">
        <v>6767</v>
      </c>
      <c r="J269" s="69">
        <v>6767</v>
      </c>
      <c r="K269" s="69">
        <v>6767</v>
      </c>
      <c r="L269" s="69">
        <v>6767</v>
      </c>
      <c r="M269" s="69">
        <v>6291</v>
      </c>
      <c r="N269" s="54"/>
      <c r="O269" s="69">
        <v>13763</v>
      </c>
      <c r="P269" s="69">
        <v>13763</v>
      </c>
      <c r="Q269" s="69">
        <v>13763</v>
      </c>
      <c r="R269" s="69">
        <v>11976</v>
      </c>
      <c r="S269" s="69"/>
      <c r="T269" s="69">
        <v>-19588</v>
      </c>
      <c r="U269" s="69">
        <v>-19588</v>
      </c>
      <c r="V269" s="69">
        <v>-17432</v>
      </c>
      <c r="W269" s="54"/>
      <c r="X269" s="69">
        <v>40171</v>
      </c>
      <c r="Y269" s="69">
        <v>39366</v>
      </c>
      <c r="Z269" s="54"/>
      <c r="AA269" s="108">
        <v>24739</v>
      </c>
      <c r="AB269" s="54"/>
      <c r="AC269" s="108">
        <f>VLOOKUP(A269,'Change in Proportion Calc'!$A$5:$H$311,8,FALSE)+SUMIF($C$5:$AB$5,2026,C269:AB269)</f>
        <v>69103</v>
      </c>
      <c r="AE269" s="107">
        <f t="shared" si="21"/>
        <v>120965</v>
      </c>
      <c r="AF269" s="107">
        <f t="shared" si="22"/>
        <v>37020</v>
      </c>
      <c r="AH269" s="107"/>
      <c r="AI269" s="108"/>
      <c r="AJ269" s="108"/>
      <c r="AK269" s="213">
        <f t="shared" si="20"/>
        <v>29408</v>
      </c>
      <c r="AL269" s="107">
        <f t="shared" si="19"/>
        <v>43559</v>
      </c>
      <c r="AM269" s="107">
        <f t="shared" si="19"/>
        <v>6349</v>
      </c>
      <c r="AN269" s="107">
        <f t="shared" si="19"/>
        <v>21994</v>
      </c>
      <c r="AO269" s="107">
        <f t="shared" si="19"/>
        <v>9542</v>
      </c>
      <c r="AP269" s="107">
        <f t="shared" si="19"/>
        <v>2501</v>
      </c>
    </row>
    <row r="270" spans="1:42">
      <c r="A270" s="53">
        <v>2413</v>
      </c>
      <c r="B270" s="54" t="s">
        <v>252</v>
      </c>
      <c r="C270" s="234">
        <f>_xlfn.XLOOKUP($A270,'Change in Proportion Calc'!$A$5:$A$311,'Change in Proportion Calc'!L$5:L$311,"n",0,1)</f>
        <v>-12334</v>
      </c>
      <c r="D270" s="234">
        <f>_xlfn.XLOOKUP($A270,'Change in Proportion Calc'!$A$5:$A$311,'Change in Proportion Calc'!M$5:M$311,"n",0,1)</f>
        <v>-12334</v>
      </c>
      <c r="E270" s="234">
        <f>_xlfn.XLOOKUP($A270,'Change in Proportion Calc'!$A$5:$A$311,'Change in Proportion Calc'!N$5:N$311,"n",0,1)</f>
        <v>-12334</v>
      </c>
      <c r="F270" s="234">
        <f>_xlfn.XLOOKUP($A270,'Change in Proportion Calc'!$A$5:$A$311,'Change in Proportion Calc'!O$5:O$311,"n",0,1)</f>
        <v>-12334</v>
      </c>
      <c r="G270" s="234">
        <f>_xlfn.XLOOKUP($A270,'Change in Proportion Calc'!$A$5:$A$311,'Change in Proportion Calc'!P$5:P$311,"n",0,1)</f>
        <v>-9499</v>
      </c>
      <c r="H270" s="54"/>
      <c r="I270" s="69">
        <v>-23927</v>
      </c>
      <c r="J270" s="69">
        <v>-23927</v>
      </c>
      <c r="K270" s="69">
        <v>-23927</v>
      </c>
      <c r="L270" s="69">
        <v>-23927</v>
      </c>
      <c r="M270" s="69">
        <v>-22250</v>
      </c>
      <c r="N270" s="54"/>
      <c r="O270" s="69">
        <v>18745</v>
      </c>
      <c r="P270" s="69">
        <v>18745</v>
      </c>
      <c r="Q270" s="69">
        <v>18745</v>
      </c>
      <c r="R270" s="69">
        <v>16306</v>
      </c>
      <c r="S270" s="69"/>
      <c r="T270" s="69">
        <v>-21283</v>
      </c>
      <c r="U270" s="69">
        <v>-21283</v>
      </c>
      <c r="V270" s="69">
        <v>-18943</v>
      </c>
      <c r="W270" s="54"/>
      <c r="X270" s="69">
        <v>-25188</v>
      </c>
      <c r="Y270" s="69">
        <v>-24683</v>
      </c>
      <c r="Z270" s="54"/>
      <c r="AA270" s="108">
        <v>-506</v>
      </c>
      <c r="AB270" s="54"/>
      <c r="AC270" s="108">
        <f>VLOOKUP(A270,'Change in Proportion Calc'!$A$5:$H$311,8,FALSE)+SUMIF($C$5:$AB$5,2026,C270:AB270)</f>
        <v>-64493</v>
      </c>
      <c r="AE270" s="107">
        <f t="shared" si="21"/>
        <v>53796</v>
      </c>
      <c r="AF270" s="107">
        <f t="shared" si="22"/>
        <v>217775</v>
      </c>
      <c r="AH270" s="107"/>
      <c r="AI270" s="108"/>
      <c r="AJ270" s="108"/>
      <c r="AK270" s="213">
        <f t="shared" si="20"/>
        <v>2413</v>
      </c>
      <c r="AL270" s="107">
        <f t="shared" si="19"/>
        <v>-63482</v>
      </c>
      <c r="AM270" s="107">
        <f t="shared" si="19"/>
        <v>-36459</v>
      </c>
      <c r="AN270" s="107">
        <f t="shared" si="19"/>
        <v>-19955</v>
      </c>
      <c r="AO270" s="107">
        <f t="shared" si="19"/>
        <v>-34584</v>
      </c>
      <c r="AP270" s="107">
        <f t="shared" si="19"/>
        <v>-9499</v>
      </c>
    </row>
    <row r="271" spans="1:42">
      <c r="A271" s="51">
        <v>1398</v>
      </c>
      <c r="B271" s="55" t="s">
        <v>253</v>
      </c>
      <c r="C271" s="234">
        <f>_xlfn.XLOOKUP($A271,'Change in Proportion Calc'!$A$5:$A$311,'Change in Proportion Calc'!L$5:L$311,"n",0,1)</f>
        <v>25578</v>
      </c>
      <c r="D271" s="234">
        <f>_xlfn.XLOOKUP($A271,'Change in Proportion Calc'!$A$5:$A$311,'Change in Proportion Calc'!M$5:M$311,"n",0,1)</f>
        <v>25578</v>
      </c>
      <c r="E271" s="234">
        <f>_xlfn.XLOOKUP($A271,'Change in Proportion Calc'!$A$5:$A$311,'Change in Proportion Calc'!N$5:N$311,"n",0,1)</f>
        <v>25578</v>
      </c>
      <c r="F271" s="234">
        <f>_xlfn.XLOOKUP($A271,'Change in Proportion Calc'!$A$5:$A$311,'Change in Proportion Calc'!O$5:O$311,"n",0,1)</f>
        <v>25578</v>
      </c>
      <c r="G271" s="234">
        <f>_xlfn.XLOOKUP($A271,'Change in Proportion Calc'!$A$5:$A$311,'Change in Proportion Calc'!P$5:P$311,"n",0,1)</f>
        <v>19693</v>
      </c>
      <c r="H271" s="54"/>
      <c r="I271" s="69">
        <v>35150</v>
      </c>
      <c r="J271" s="69">
        <v>35150</v>
      </c>
      <c r="K271" s="69">
        <v>35150</v>
      </c>
      <c r="L271" s="69">
        <v>35150</v>
      </c>
      <c r="M271" s="69">
        <v>32690</v>
      </c>
      <c r="N271" s="54"/>
      <c r="O271" s="69">
        <v>40616</v>
      </c>
      <c r="P271" s="69">
        <v>40616</v>
      </c>
      <c r="Q271" s="69">
        <v>40616</v>
      </c>
      <c r="R271" s="69">
        <v>35335</v>
      </c>
      <c r="S271" s="69"/>
      <c r="T271" s="69">
        <v>-32770</v>
      </c>
      <c r="U271" s="69">
        <v>-32770</v>
      </c>
      <c r="V271" s="69">
        <v>-29167</v>
      </c>
      <c r="W271" s="54"/>
      <c r="X271" s="69">
        <v>-6560</v>
      </c>
      <c r="Y271" s="69">
        <v>-6430</v>
      </c>
      <c r="Z271" s="54"/>
      <c r="AA271" s="108">
        <v>17419</v>
      </c>
      <c r="AB271" s="54"/>
      <c r="AC271" s="108">
        <f>VLOOKUP(A271,'Change in Proportion Calc'!$A$5:$H$311,8,FALSE)+SUMIF($C$5:$AB$5,2026,C271:AB271)</f>
        <v>79433</v>
      </c>
      <c r="AE271" s="107">
        <f t="shared" si="21"/>
        <v>376712</v>
      </c>
      <c r="AF271" s="107">
        <f t="shared" si="22"/>
        <v>68367</v>
      </c>
      <c r="AH271" s="107"/>
      <c r="AI271" s="108"/>
      <c r="AJ271" s="108"/>
      <c r="AK271" s="213">
        <f t="shared" si="20"/>
        <v>1398</v>
      </c>
      <c r="AL271" s="107">
        <f t="shared" si="19"/>
        <v>62144</v>
      </c>
      <c r="AM271" s="107">
        <f t="shared" si="19"/>
        <v>72177</v>
      </c>
      <c r="AN271" s="107">
        <f t="shared" si="19"/>
        <v>96063</v>
      </c>
      <c r="AO271" s="107">
        <f t="shared" si="19"/>
        <v>58268</v>
      </c>
      <c r="AP271" s="107">
        <f t="shared" si="19"/>
        <v>19693</v>
      </c>
    </row>
    <row r="272" spans="1:42">
      <c r="A272" s="53">
        <v>2366</v>
      </c>
      <c r="B272" s="54" t="s">
        <v>254</v>
      </c>
      <c r="C272" s="234">
        <f>_xlfn.XLOOKUP($A272,'Change in Proportion Calc'!$A$5:$A$311,'Change in Proportion Calc'!L$5:L$311,"n",0,1)</f>
        <v>-17989</v>
      </c>
      <c r="D272" s="234">
        <f>_xlfn.XLOOKUP($A272,'Change in Proportion Calc'!$A$5:$A$311,'Change in Proportion Calc'!M$5:M$311,"n",0,1)</f>
        <v>-17989</v>
      </c>
      <c r="E272" s="234">
        <f>_xlfn.XLOOKUP($A272,'Change in Proportion Calc'!$A$5:$A$311,'Change in Proportion Calc'!N$5:N$311,"n",0,1)</f>
        <v>-17989</v>
      </c>
      <c r="F272" s="234">
        <f>_xlfn.XLOOKUP($A272,'Change in Proportion Calc'!$A$5:$A$311,'Change in Proportion Calc'!O$5:O$311,"n",0,1)</f>
        <v>-17989</v>
      </c>
      <c r="G272" s="234">
        <f>_xlfn.XLOOKUP($A272,'Change in Proportion Calc'!$A$5:$A$311,'Change in Proportion Calc'!P$5:P$311,"n",0,1)</f>
        <v>-13854</v>
      </c>
      <c r="H272" s="54"/>
      <c r="I272" s="69">
        <v>-10080</v>
      </c>
      <c r="J272" s="69">
        <v>-10080</v>
      </c>
      <c r="K272" s="69">
        <v>-10080</v>
      </c>
      <c r="L272" s="69">
        <v>-10080</v>
      </c>
      <c r="M272" s="69">
        <v>-9372</v>
      </c>
      <c r="N272" s="54"/>
      <c r="O272" s="69">
        <v>-1510</v>
      </c>
      <c r="P272" s="69">
        <v>-1510</v>
      </c>
      <c r="Q272" s="69">
        <v>-1510</v>
      </c>
      <c r="R272" s="69">
        <v>-1316</v>
      </c>
      <c r="S272" s="69"/>
      <c r="T272" s="69">
        <v>-30412</v>
      </c>
      <c r="U272" s="69">
        <v>-30412</v>
      </c>
      <c r="V272" s="69">
        <v>-27067</v>
      </c>
      <c r="W272" s="54"/>
      <c r="X272" s="69">
        <v>6641</v>
      </c>
      <c r="Y272" s="69">
        <v>6509</v>
      </c>
      <c r="Z272" s="54"/>
      <c r="AA272" s="108">
        <v>-15233</v>
      </c>
      <c r="AB272" s="54"/>
      <c r="AC272" s="108">
        <f>VLOOKUP(A272,'Change in Proportion Calc'!$A$5:$H$311,8,FALSE)+SUMIF($C$5:$AB$5,2026,C272:AB272)</f>
        <v>-68583</v>
      </c>
      <c r="AE272" s="107">
        <f t="shared" si="21"/>
        <v>6509</v>
      </c>
      <c r="AF272" s="107">
        <f t="shared" si="22"/>
        <v>187237</v>
      </c>
      <c r="AH272" s="107"/>
      <c r="AI272" s="108"/>
      <c r="AJ272" s="108"/>
      <c r="AK272" s="213">
        <f t="shared" si="20"/>
        <v>2366</v>
      </c>
      <c r="AL272" s="107">
        <f t="shared" si="19"/>
        <v>-53482</v>
      </c>
      <c r="AM272" s="107">
        <f t="shared" si="19"/>
        <v>-56646</v>
      </c>
      <c r="AN272" s="107">
        <f t="shared" si="19"/>
        <v>-29385</v>
      </c>
      <c r="AO272" s="107">
        <f t="shared" si="19"/>
        <v>-27361</v>
      </c>
      <c r="AP272" s="107">
        <f t="shared" si="19"/>
        <v>-13854</v>
      </c>
    </row>
    <row r="273" spans="1:42">
      <c r="A273" s="51">
        <v>7421</v>
      </c>
      <c r="B273" s="55" t="s">
        <v>255</v>
      </c>
      <c r="C273" s="234">
        <f>_xlfn.XLOOKUP($A273,'Change in Proportion Calc'!$A$5:$A$311,'Change in Proportion Calc'!L$5:L$311,"n",0,1)</f>
        <v>9597</v>
      </c>
      <c r="D273" s="234">
        <f>_xlfn.XLOOKUP($A273,'Change in Proportion Calc'!$A$5:$A$311,'Change in Proportion Calc'!M$5:M$311,"n",0,1)</f>
        <v>9597</v>
      </c>
      <c r="E273" s="234">
        <f>_xlfn.XLOOKUP($A273,'Change in Proportion Calc'!$A$5:$A$311,'Change in Proportion Calc'!N$5:N$311,"n",0,1)</f>
        <v>9597</v>
      </c>
      <c r="F273" s="234">
        <f>_xlfn.XLOOKUP($A273,'Change in Proportion Calc'!$A$5:$A$311,'Change in Proportion Calc'!O$5:O$311,"n",0,1)</f>
        <v>9597</v>
      </c>
      <c r="G273" s="234">
        <f>_xlfn.XLOOKUP($A273,'Change in Proportion Calc'!$A$5:$A$311,'Change in Proportion Calc'!P$5:P$311,"n",0,1)</f>
        <v>7391</v>
      </c>
      <c r="H273" s="54"/>
      <c r="I273" s="69">
        <v>1152</v>
      </c>
      <c r="J273" s="69">
        <v>1152</v>
      </c>
      <c r="K273" s="69">
        <v>1152</v>
      </c>
      <c r="L273" s="69">
        <v>1152</v>
      </c>
      <c r="M273" s="69">
        <v>1072</v>
      </c>
      <c r="N273" s="54"/>
      <c r="O273" s="69">
        <v>-28993</v>
      </c>
      <c r="P273" s="69">
        <v>-28993</v>
      </c>
      <c r="Q273" s="69">
        <v>-28993</v>
      </c>
      <c r="R273" s="69">
        <v>-25224</v>
      </c>
      <c r="S273" s="69"/>
      <c r="T273" s="69">
        <v>17510</v>
      </c>
      <c r="U273" s="69">
        <v>17510</v>
      </c>
      <c r="V273" s="69">
        <v>15584</v>
      </c>
      <c r="W273" s="54"/>
      <c r="X273" s="69">
        <v>3240</v>
      </c>
      <c r="Y273" s="69">
        <v>3173</v>
      </c>
      <c r="Z273" s="54"/>
      <c r="AA273" s="108">
        <v>-49314</v>
      </c>
      <c r="AB273" s="54"/>
      <c r="AC273" s="108">
        <f>VLOOKUP(A273,'Change in Proportion Calc'!$A$5:$H$311,8,FALSE)+SUMIF($C$5:$AB$5,2026,C273:AB273)</f>
        <v>-46808</v>
      </c>
      <c r="AE273" s="107">
        <f t="shared" si="21"/>
        <v>86574</v>
      </c>
      <c r="AF273" s="107">
        <f t="shared" si="22"/>
        <v>83210</v>
      </c>
      <c r="AH273" s="107"/>
      <c r="AI273" s="108"/>
      <c r="AJ273" s="108"/>
      <c r="AK273" s="213">
        <f t="shared" si="20"/>
        <v>7421</v>
      </c>
      <c r="AL273" s="107">
        <f t="shared" si="19"/>
        <v>2439</v>
      </c>
      <c r="AM273" s="107">
        <f t="shared" si="19"/>
        <v>-2660</v>
      </c>
      <c r="AN273" s="107">
        <f t="shared" si="19"/>
        <v>-14475</v>
      </c>
      <c r="AO273" s="107">
        <f t="shared" si="19"/>
        <v>10669</v>
      </c>
      <c r="AP273" s="107">
        <f t="shared" si="19"/>
        <v>7391</v>
      </c>
    </row>
    <row r="274" spans="1:42">
      <c r="A274" s="51">
        <v>1425</v>
      </c>
      <c r="B274" s="55" t="s">
        <v>431</v>
      </c>
      <c r="C274" s="234">
        <f>_xlfn.XLOOKUP($A274,'Change in Proportion Calc'!$A$5:$A$311,'Change in Proportion Calc'!L$5:L$311,"n",0,1)</f>
        <v>24328</v>
      </c>
      <c r="D274" s="234">
        <f>_xlfn.XLOOKUP($A274,'Change in Proportion Calc'!$A$5:$A$311,'Change in Proportion Calc'!M$5:M$311,"n",0,1)</f>
        <v>24328</v>
      </c>
      <c r="E274" s="234">
        <f>_xlfn.XLOOKUP($A274,'Change in Proportion Calc'!$A$5:$A$311,'Change in Proportion Calc'!N$5:N$311,"n",0,1)</f>
        <v>24328</v>
      </c>
      <c r="F274" s="234">
        <f>_xlfn.XLOOKUP($A274,'Change in Proportion Calc'!$A$5:$A$311,'Change in Proportion Calc'!O$5:O$311,"n",0,1)</f>
        <v>24328</v>
      </c>
      <c r="G274" s="234">
        <f>_xlfn.XLOOKUP($A274,'Change in Proportion Calc'!$A$5:$A$311,'Change in Proportion Calc'!P$5:P$311,"n",0,1)</f>
        <v>18733</v>
      </c>
      <c r="H274" s="54"/>
      <c r="I274" s="69">
        <v>83452</v>
      </c>
      <c r="J274" s="69">
        <v>83452</v>
      </c>
      <c r="K274" s="69">
        <v>83452</v>
      </c>
      <c r="L274" s="69">
        <v>83452</v>
      </c>
      <c r="M274" s="69">
        <v>77613</v>
      </c>
      <c r="N274" s="54"/>
      <c r="O274" s="69">
        <v>101063</v>
      </c>
      <c r="P274" s="69">
        <v>101063</v>
      </c>
      <c r="Q274" s="69">
        <v>101063</v>
      </c>
      <c r="R274" s="69">
        <v>87926</v>
      </c>
      <c r="S274" s="69"/>
      <c r="T274" s="69">
        <v>8919</v>
      </c>
      <c r="U274" s="69">
        <v>8919</v>
      </c>
      <c r="V274" s="69">
        <v>7936</v>
      </c>
      <c r="W274" s="54"/>
      <c r="X274" s="69">
        <v>0</v>
      </c>
      <c r="Y274" s="69">
        <v>0</v>
      </c>
      <c r="Z274" s="54"/>
      <c r="AA274" s="108">
        <v>0</v>
      </c>
      <c r="AB274" s="54"/>
      <c r="AC274" s="108">
        <f>VLOOKUP(A274,'Change in Proportion Calc'!$A$5:$H$311,8,FALSE)+SUMIF($C$5:$AB$5,2026,C274:AB274)</f>
        <v>217762</v>
      </c>
      <c r="AE274" s="107">
        <f t="shared" si="21"/>
        <v>750921</v>
      </c>
      <c r="AF274" s="107">
        <f t="shared" si="22"/>
        <v>0</v>
      </c>
      <c r="AH274" s="107"/>
      <c r="AI274" s="108"/>
      <c r="AJ274" s="108"/>
      <c r="AK274" s="213">
        <f t="shared" si="20"/>
        <v>1425</v>
      </c>
      <c r="AL274" s="107">
        <f t="shared" si="19"/>
        <v>217762</v>
      </c>
      <c r="AM274" s="107">
        <f t="shared" si="19"/>
        <v>216779</v>
      </c>
      <c r="AN274" s="107">
        <f t="shared" si="19"/>
        <v>195706</v>
      </c>
      <c r="AO274" s="107">
        <f t="shared" si="19"/>
        <v>101941</v>
      </c>
      <c r="AP274" s="107">
        <f t="shared" si="19"/>
        <v>18733</v>
      </c>
    </row>
    <row r="275" spans="1:42">
      <c r="A275" s="53">
        <v>2370</v>
      </c>
      <c r="B275" s="54" t="s">
        <v>256</v>
      </c>
      <c r="C275" s="234">
        <f>_xlfn.XLOOKUP($A275,'Change in Proportion Calc'!$A$5:$A$311,'Change in Proportion Calc'!L$5:L$311,"n",0,1)</f>
        <v>-5486</v>
      </c>
      <c r="D275" s="234">
        <f>_xlfn.XLOOKUP($A275,'Change in Proportion Calc'!$A$5:$A$311,'Change in Proportion Calc'!M$5:M$311,"n",0,1)</f>
        <v>-5486</v>
      </c>
      <c r="E275" s="234">
        <f>_xlfn.XLOOKUP($A275,'Change in Proportion Calc'!$A$5:$A$311,'Change in Proportion Calc'!N$5:N$311,"n",0,1)</f>
        <v>-5486</v>
      </c>
      <c r="F275" s="234">
        <f>_xlfn.XLOOKUP($A275,'Change in Proportion Calc'!$A$5:$A$311,'Change in Proportion Calc'!O$5:O$311,"n",0,1)</f>
        <v>-5486</v>
      </c>
      <c r="G275" s="234">
        <f>_xlfn.XLOOKUP($A275,'Change in Proportion Calc'!$A$5:$A$311,'Change in Proportion Calc'!P$5:P$311,"n",0,1)</f>
        <v>-4225</v>
      </c>
      <c r="H275" s="54"/>
      <c r="I275" s="69">
        <v>-13855</v>
      </c>
      <c r="J275" s="69">
        <v>-13855</v>
      </c>
      <c r="K275" s="69">
        <v>-13855</v>
      </c>
      <c r="L275" s="69">
        <v>-13855</v>
      </c>
      <c r="M275" s="69">
        <v>-12886</v>
      </c>
      <c r="N275" s="54"/>
      <c r="O275" s="69">
        <v>-19758</v>
      </c>
      <c r="P275" s="69">
        <v>-19758</v>
      </c>
      <c r="Q275" s="69">
        <v>-19758</v>
      </c>
      <c r="R275" s="69">
        <v>-17189</v>
      </c>
      <c r="S275" s="69"/>
      <c r="T275" s="69">
        <v>-34298</v>
      </c>
      <c r="U275" s="69">
        <v>-34298</v>
      </c>
      <c r="V275" s="69">
        <v>-30523</v>
      </c>
      <c r="W275" s="54"/>
      <c r="X275" s="69">
        <v>14578</v>
      </c>
      <c r="Y275" s="69">
        <v>14287</v>
      </c>
      <c r="Z275" s="54"/>
      <c r="AA275" s="108">
        <v>17502</v>
      </c>
      <c r="AB275" s="54"/>
      <c r="AC275" s="108">
        <f>VLOOKUP(A275,'Change in Proportion Calc'!$A$5:$H$311,8,FALSE)+SUMIF($C$5:$AB$5,2026,C275:AB275)</f>
        <v>-41317</v>
      </c>
      <c r="AE275" s="107">
        <f t="shared" si="21"/>
        <v>14287</v>
      </c>
      <c r="AF275" s="107">
        <f t="shared" si="22"/>
        <v>202146</v>
      </c>
      <c r="AH275" s="107"/>
      <c r="AI275" s="108"/>
      <c r="AJ275" s="108"/>
      <c r="AK275" s="213">
        <f t="shared" si="20"/>
        <v>2370</v>
      </c>
      <c r="AL275" s="107">
        <f t="shared" si="19"/>
        <v>-59110</v>
      </c>
      <c r="AM275" s="107">
        <f t="shared" si="19"/>
        <v>-69622</v>
      </c>
      <c r="AN275" s="107">
        <f t="shared" si="19"/>
        <v>-36530</v>
      </c>
      <c r="AO275" s="107">
        <f t="shared" si="19"/>
        <v>-18372</v>
      </c>
      <c r="AP275" s="107">
        <f t="shared" si="19"/>
        <v>-4225</v>
      </c>
    </row>
    <row r="276" spans="1:42">
      <c r="A276" s="51">
        <v>1343</v>
      </c>
      <c r="B276" s="55" t="s">
        <v>257</v>
      </c>
      <c r="C276" s="234">
        <f>_xlfn.XLOOKUP($A276,'Change in Proportion Calc'!$A$5:$A$311,'Change in Proportion Calc'!L$5:L$311,"n",0,1)</f>
        <v>-22627</v>
      </c>
      <c r="D276" s="234">
        <f>_xlfn.XLOOKUP($A276,'Change in Proportion Calc'!$A$5:$A$311,'Change in Proportion Calc'!M$5:M$311,"n",0,1)</f>
        <v>-22627</v>
      </c>
      <c r="E276" s="234">
        <f>_xlfn.XLOOKUP($A276,'Change in Proportion Calc'!$A$5:$A$311,'Change in Proportion Calc'!N$5:N$311,"n",0,1)</f>
        <v>-22627</v>
      </c>
      <c r="F276" s="234">
        <f>_xlfn.XLOOKUP($A276,'Change in Proportion Calc'!$A$5:$A$311,'Change in Proportion Calc'!O$5:O$311,"n",0,1)</f>
        <v>-22627</v>
      </c>
      <c r="G276" s="234">
        <f>_xlfn.XLOOKUP($A276,'Change in Proportion Calc'!$A$5:$A$311,'Change in Proportion Calc'!P$5:P$311,"n",0,1)</f>
        <v>-17423</v>
      </c>
      <c r="H276" s="54"/>
      <c r="I276" s="69">
        <v>-21855</v>
      </c>
      <c r="J276" s="69">
        <v>-21855</v>
      </c>
      <c r="K276" s="69">
        <v>-21855</v>
      </c>
      <c r="L276" s="69">
        <v>-21855</v>
      </c>
      <c r="M276" s="69">
        <v>-20327</v>
      </c>
      <c r="N276" s="54"/>
      <c r="O276" s="69">
        <v>10449</v>
      </c>
      <c r="P276" s="69">
        <v>10449</v>
      </c>
      <c r="Q276" s="69">
        <v>10449</v>
      </c>
      <c r="R276" s="69">
        <v>9093</v>
      </c>
      <c r="S276" s="69"/>
      <c r="T276" s="69">
        <v>7909</v>
      </c>
      <c r="U276" s="69">
        <v>7909</v>
      </c>
      <c r="V276" s="69">
        <v>7038</v>
      </c>
      <c r="W276" s="54"/>
      <c r="X276" s="69">
        <v>8018</v>
      </c>
      <c r="Y276" s="69">
        <v>7857</v>
      </c>
      <c r="Z276" s="54"/>
      <c r="AA276" s="108">
        <v>11446</v>
      </c>
      <c r="AB276" s="54"/>
      <c r="AC276" s="108">
        <f>VLOOKUP(A276,'Change in Proportion Calc'!$A$5:$H$311,8,FALSE)+SUMIF($C$5:$AB$5,2026,C276:AB276)</f>
        <v>-6660</v>
      </c>
      <c r="AE276" s="107">
        <f t="shared" si="21"/>
        <v>52795</v>
      </c>
      <c r="AF276" s="107">
        <f t="shared" si="22"/>
        <v>193823</v>
      </c>
      <c r="AH276" s="107"/>
      <c r="AI276" s="108"/>
      <c r="AJ276" s="108"/>
      <c r="AK276" s="213">
        <f t="shared" si="20"/>
        <v>1343</v>
      </c>
      <c r="AL276" s="107">
        <f t="shared" si="19"/>
        <v>-18267</v>
      </c>
      <c r="AM276" s="107">
        <f t="shared" si="19"/>
        <v>-26995</v>
      </c>
      <c r="AN276" s="107">
        <f t="shared" si="19"/>
        <v>-35389</v>
      </c>
      <c r="AO276" s="107">
        <f t="shared" si="19"/>
        <v>-42954</v>
      </c>
      <c r="AP276" s="107">
        <f t="shared" si="19"/>
        <v>-17423</v>
      </c>
    </row>
    <row r="277" spans="1:42">
      <c r="A277" s="53">
        <v>2790</v>
      </c>
      <c r="B277" s="54" t="s">
        <v>258</v>
      </c>
      <c r="C277" s="234">
        <f>_xlfn.XLOOKUP($A277,'Change in Proportion Calc'!$A$5:$A$311,'Change in Proportion Calc'!L$5:L$311,"n",0,1)</f>
        <v>-380</v>
      </c>
      <c r="D277" s="234">
        <f>_xlfn.XLOOKUP($A277,'Change in Proportion Calc'!$A$5:$A$311,'Change in Proportion Calc'!M$5:M$311,"n",0,1)</f>
        <v>-380</v>
      </c>
      <c r="E277" s="234">
        <f>_xlfn.XLOOKUP($A277,'Change in Proportion Calc'!$A$5:$A$311,'Change in Proportion Calc'!N$5:N$311,"n",0,1)</f>
        <v>-380</v>
      </c>
      <c r="F277" s="234">
        <f>_xlfn.XLOOKUP($A277,'Change in Proportion Calc'!$A$5:$A$311,'Change in Proportion Calc'!O$5:O$311,"n",0,1)</f>
        <v>-380</v>
      </c>
      <c r="G277" s="234">
        <f>_xlfn.XLOOKUP($A277,'Change in Proportion Calc'!$A$5:$A$311,'Change in Proportion Calc'!P$5:P$311,"n",0,1)</f>
        <v>-293</v>
      </c>
      <c r="H277" s="54"/>
      <c r="I277" s="69">
        <v>-1486</v>
      </c>
      <c r="J277" s="69">
        <v>-1486</v>
      </c>
      <c r="K277" s="69">
        <v>-1486</v>
      </c>
      <c r="L277" s="69">
        <v>-1486</v>
      </c>
      <c r="M277" s="69">
        <v>-1380</v>
      </c>
      <c r="N277" s="54"/>
      <c r="O277" s="69">
        <v>-2505</v>
      </c>
      <c r="P277" s="69">
        <v>-2505</v>
      </c>
      <c r="Q277" s="69">
        <v>-2505</v>
      </c>
      <c r="R277" s="69">
        <v>-2178</v>
      </c>
      <c r="S277" s="69"/>
      <c r="T277" s="69">
        <v>-417</v>
      </c>
      <c r="U277" s="69">
        <v>-417</v>
      </c>
      <c r="V277" s="69">
        <v>-372</v>
      </c>
      <c r="W277" s="54"/>
      <c r="X277" s="69">
        <v>8261</v>
      </c>
      <c r="Y277" s="69">
        <v>8095</v>
      </c>
      <c r="Z277" s="54"/>
      <c r="AA277" s="108">
        <v>-12537</v>
      </c>
      <c r="AB277" s="54"/>
      <c r="AC277" s="108">
        <f>VLOOKUP(A277,'Change in Proportion Calc'!$A$5:$H$311,8,FALSE)+SUMIF($C$5:$AB$5,2026,C277:AB277)</f>
        <v>-9064</v>
      </c>
      <c r="AE277" s="107">
        <f t="shared" si="21"/>
        <v>8095</v>
      </c>
      <c r="AF277" s="107">
        <f t="shared" si="22"/>
        <v>15628</v>
      </c>
      <c r="AH277" s="107"/>
      <c r="AI277" s="108"/>
      <c r="AJ277" s="108"/>
      <c r="AK277" s="213">
        <f t="shared" si="20"/>
        <v>2790</v>
      </c>
      <c r="AL277" s="107">
        <f t="shared" si="19"/>
        <v>3307</v>
      </c>
      <c r="AM277" s="107">
        <f t="shared" si="19"/>
        <v>-4743</v>
      </c>
      <c r="AN277" s="107">
        <f t="shared" si="19"/>
        <v>-4044</v>
      </c>
      <c r="AO277" s="107">
        <f t="shared" si="19"/>
        <v>-1760</v>
      </c>
      <c r="AP277" s="107">
        <f t="shared" si="19"/>
        <v>-293</v>
      </c>
    </row>
    <row r="278" spans="1:42">
      <c r="A278" s="51">
        <v>3330</v>
      </c>
      <c r="B278" s="55" t="s">
        <v>259</v>
      </c>
      <c r="C278" s="234">
        <f>_xlfn.XLOOKUP($A278,'Change in Proportion Calc'!$A$5:$A$311,'Change in Proportion Calc'!L$5:L$311,"n",0,1)</f>
        <v>-20288</v>
      </c>
      <c r="D278" s="234">
        <f>_xlfn.XLOOKUP($A278,'Change in Proportion Calc'!$A$5:$A$311,'Change in Proportion Calc'!M$5:M$311,"n",0,1)</f>
        <v>-20288</v>
      </c>
      <c r="E278" s="234">
        <f>_xlfn.XLOOKUP($A278,'Change in Proportion Calc'!$A$5:$A$311,'Change in Proportion Calc'!N$5:N$311,"n",0,1)</f>
        <v>-20288</v>
      </c>
      <c r="F278" s="234">
        <f>_xlfn.XLOOKUP($A278,'Change in Proportion Calc'!$A$5:$A$311,'Change in Proportion Calc'!O$5:O$311,"n",0,1)</f>
        <v>-20288</v>
      </c>
      <c r="G278" s="234">
        <f>_xlfn.XLOOKUP($A278,'Change in Proportion Calc'!$A$5:$A$311,'Change in Proportion Calc'!P$5:P$311,"n",0,1)</f>
        <v>-15620</v>
      </c>
      <c r="H278" s="54"/>
      <c r="I278" s="69">
        <v>285</v>
      </c>
      <c r="J278" s="69">
        <v>285</v>
      </c>
      <c r="K278" s="69">
        <v>285</v>
      </c>
      <c r="L278" s="69">
        <v>285</v>
      </c>
      <c r="M278" s="69">
        <v>267</v>
      </c>
      <c r="N278" s="54"/>
      <c r="O278" s="69">
        <v>-46492</v>
      </c>
      <c r="P278" s="69">
        <v>-46492</v>
      </c>
      <c r="Q278" s="69">
        <v>-46492</v>
      </c>
      <c r="R278" s="69">
        <v>-40450</v>
      </c>
      <c r="S278" s="69"/>
      <c r="T278" s="69">
        <v>12948</v>
      </c>
      <c r="U278" s="69">
        <v>12948</v>
      </c>
      <c r="V278" s="69">
        <v>11526</v>
      </c>
      <c r="W278" s="54"/>
      <c r="X278" s="69">
        <v>45597</v>
      </c>
      <c r="Y278" s="69">
        <v>44685</v>
      </c>
      <c r="Z278" s="54"/>
      <c r="AA278" s="108">
        <v>5468</v>
      </c>
      <c r="AB278" s="54"/>
      <c r="AC278" s="108">
        <f>VLOOKUP(A278,'Change in Proportion Calc'!$A$5:$H$311,8,FALSE)+SUMIF($C$5:$AB$5,2026,C278:AB278)</f>
        <v>-2482</v>
      </c>
      <c r="AE278" s="107">
        <f t="shared" si="21"/>
        <v>70281</v>
      </c>
      <c r="AF278" s="107">
        <f t="shared" si="22"/>
        <v>230206</v>
      </c>
      <c r="AH278" s="107"/>
      <c r="AI278" s="108"/>
      <c r="AJ278" s="108"/>
      <c r="AK278" s="213">
        <f t="shared" si="20"/>
        <v>3330</v>
      </c>
      <c r="AL278" s="107">
        <f t="shared" si="19"/>
        <v>-8862</v>
      </c>
      <c r="AM278" s="107">
        <f t="shared" si="19"/>
        <v>-54969</v>
      </c>
      <c r="AN278" s="107">
        <f t="shared" si="19"/>
        <v>-60453</v>
      </c>
      <c r="AO278" s="107">
        <f t="shared" si="19"/>
        <v>-20021</v>
      </c>
      <c r="AP278" s="107">
        <f t="shared" si="19"/>
        <v>-15620</v>
      </c>
    </row>
    <row r="279" spans="1:42">
      <c r="A279" s="53">
        <v>2080</v>
      </c>
      <c r="B279" s="54" t="s">
        <v>260</v>
      </c>
      <c r="C279" s="234">
        <f>_xlfn.XLOOKUP($A279,'Change in Proportion Calc'!$A$5:$A$311,'Change in Proportion Calc'!L$5:L$311,"n",0,1)</f>
        <v>-21806</v>
      </c>
      <c r="D279" s="234">
        <f>_xlfn.XLOOKUP($A279,'Change in Proportion Calc'!$A$5:$A$311,'Change in Proportion Calc'!M$5:M$311,"n",0,1)</f>
        <v>-21806</v>
      </c>
      <c r="E279" s="234">
        <f>_xlfn.XLOOKUP($A279,'Change in Proportion Calc'!$A$5:$A$311,'Change in Proportion Calc'!N$5:N$311,"n",0,1)</f>
        <v>-21806</v>
      </c>
      <c r="F279" s="234">
        <f>_xlfn.XLOOKUP($A279,'Change in Proportion Calc'!$A$5:$A$311,'Change in Proportion Calc'!O$5:O$311,"n",0,1)</f>
        <v>-21806</v>
      </c>
      <c r="G279" s="234">
        <f>_xlfn.XLOOKUP($A279,'Change in Proportion Calc'!$A$5:$A$311,'Change in Proportion Calc'!P$5:P$311,"n",0,1)</f>
        <v>-16788</v>
      </c>
      <c r="H279" s="54"/>
      <c r="I279" s="69">
        <v>54800</v>
      </c>
      <c r="J279" s="69">
        <v>54800</v>
      </c>
      <c r="K279" s="69">
        <v>54800</v>
      </c>
      <c r="L279" s="69">
        <v>54800</v>
      </c>
      <c r="M279" s="69">
        <v>50966</v>
      </c>
      <c r="N279" s="54"/>
      <c r="O279" s="69">
        <v>-61149</v>
      </c>
      <c r="P279" s="69">
        <v>-61149</v>
      </c>
      <c r="Q279" s="69">
        <v>-61149</v>
      </c>
      <c r="R279" s="69">
        <v>-53202</v>
      </c>
      <c r="S279" s="69"/>
      <c r="T279" s="69">
        <v>-6621</v>
      </c>
      <c r="U279" s="69">
        <v>-6621</v>
      </c>
      <c r="V279" s="69">
        <v>-5892</v>
      </c>
      <c r="W279" s="54"/>
      <c r="X279" s="69">
        <v>-39118</v>
      </c>
      <c r="Y279" s="69">
        <v>-38335</v>
      </c>
      <c r="Z279" s="54"/>
      <c r="AA279" s="108">
        <v>25583</v>
      </c>
      <c r="AB279" s="54"/>
      <c r="AC279" s="108">
        <f>VLOOKUP(A279,'Change in Proportion Calc'!$A$5:$H$311,8,FALSE)+SUMIF($C$5:$AB$5,2026,C279:AB279)</f>
        <v>-48311</v>
      </c>
      <c r="AE279" s="107">
        <f t="shared" si="21"/>
        <v>215366</v>
      </c>
      <c r="AF279" s="107">
        <f t="shared" si="22"/>
        <v>330360</v>
      </c>
      <c r="AH279" s="107"/>
      <c r="AI279" s="108"/>
      <c r="AJ279" s="108"/>
      <c r="AK279" s="213">
        <f t="shared" si="20"/>
        <v>2080</v>
      </c>
      <c r="AL279" s="107">
        <f t="shared" si="19"/>
        <v>-73111</v>
      </c>
      <c r="AM279" s="107">
        <f t="shared" si="19"/>
        <v>-34047</v>
      </c>
      <c r="AN279" s="107">
        <f t="shared" si="19"/>
        <v>-20208</v>
      </c>
      <c r="AO279" s="107">
        <f t="shared" si="19"/>
        <v>29160</v>
      </c>
      <c r="AP279" s="107">
        <f t="shared" si="19"/>
        <v>-16788</v>
      </c>
    </row>
    <row r="280" spans="1:42">
      <c r="A280" s="51">
        <v>4290</v>
      </c>
      <c r="B280" s="55" t="s">
        <v>261</v>
      </c>
      <c r="C280" s="234">
        <f>_xlfn.XLOOKUP($A280,'Change in Proportion Calc'!$A$5:$A$311,'Change in Proportion Calc'!L$5:L$311,"n",0,1)</f>
        <v>85368</v>
      </c>
      <c r="D280" s="234">
        <f>_xlfn.XLOOKUP($A280,'Change in Proportion Calc'!$A$5:$A$311,'Change in Proportion Calc'!M$5:M$311,"n",0,1)</f>
        <v>85368</v>
      </c>
      <c r="E280" s="234">
        <f>_xlfn.XLOOKUP($A280,'Change in Proportion Calc'!$A$5:$A$311,'Change in Proportion Calc'!N$5:N$311,"n",0,1)</f>
        <v>85368</v>
      </c>
      <c r="F280" s="234">
        <f>_xlfn.XLOOKUP($A280,'Change in Proportion Calc'!$A$5:$A$311,'Change in Proportion Calc'!O$5:O$311,"n",0,1)</f>
        <v>85368</v>
      </c>
      <c r="G280" s="234">
        <f>_xlfn.XLOOKUP($A280,'Change in Proportion Calc'!$A$5:$A$311,'Change in Proportion Calc'!P$5:P$311,"n",0,1)</f>
        <v>65733</v>
      </c>
      <c r="H280" s="54"/>
      <c r="I280" s="69">
        <v>4341</v>
      </c>
      <c r="J280" s="69">
        <v>4341</v>
      </c>
      <c r="K280" s="69">
        <v>4341</v>
      </c>
      <c r="L280" s="69">
        <v>4341</v>
      </c>
      <c r="M280" s="69">
        <v>4037</v>
      </c>
      <c r="N280" s="54"/>
      <c r="O280" s="69">
        <v>48063</v>
      </c>
      <c r="P280" s="69">
        <v>48063</v>
      </c>
      <c r="Q280" s="69">
        <v>48063</v>
      </c>
      <c r="R280" s="69">
        <v>41817</v>
      </c>
      <c r="S280" s="69"/>
      <c r="T280" s="69">
        <v>870</v>
      </c>
      <c r="U280" s="69">
        <v>870</v>
      </c>
      <c r="V280" s="69">
        <v>776</v>
      </c>
      <c r="W280" s="54"/>
      <c r="X280" s="69">
        <v>405</v>
      </c>
      <c r="Y280" s="69">
        <v>397</v>
      </c>
      <c r="Z280" s="54"/>
      <c r="AA280" s="108">
        <v>-2525</v>
      </c>
      <c r="AB280" s="54"/>
      <c r="AC280" s="108">
        <f>VLOOKUP(A280,'Change in Proportion Calc'!$A$5:$H$311,8,FALSE)+SUMIF($C$5:$AB$5,2026,C280:AB280)</f>
        <v>136522</v>
      </c>
      <c r="AE280" s="107">
        <f t="shared" si="21"/>
        <v>564251</v>
      </c>
      <c r="AF280" s="107">
        <f t="shared" si="22"/>
        <v>0</v>
      </c>
      <c r="AH280" s="107"/>
      <c r="AI280" s="108"/>
      <c r="AJ280" s="108"/>
      <c r="AK280" s="213">
        <f t="shared" si="20"/>
        <v>4290</v>
      </c>
      <c r="AL280" s="107">
        <f t="shared" si="19"/>
        <v>139039</v>
      </c>
      <c r="AM280" s="107">
        <f t="shared" si="19"/>
        <v>138548</v>
      </c>
      <c r="AN280" s="107">
        <f t="shared" si="19"/>
        <v>131526</v>
      </c>
      <c r="AO280" s="107">
        <f t="shared" si="19"/>
        <v>89405</v>
      </c>
      <c r="AP280" s="107">
        <f t="shared" si="19"/>
        <v>65733</v>
      </c>
    </row>
    <row r="281" spans="1:42">
      <c r="A281" s="53">
        <v>2270</v>
      </c>
      <c r="B281" s="54" t="s">
        <v>262</v>
      </c>
      <c r="C281" s="234">
        <f>_xlfn.XLOOKUP($A281,'Change in Proportion Calc'!$A$5:$A$311,'Change in Proportion Calc'!L$5:L$311,"n",0,1)</f>
        <v>-225</v>
      </c>
      <c r="D281" s="234">
        <f>_xlfn.XLOOKUP($A281,'Change in Proportion Calc'!$A$5:$A$311,'Change in Proportion Calc'!M$5:M$311,"n",0,1)</f>
        <v>-225</v>
      </c>
      <c r="E281" s="234">
        <f>_xlfn.XLOOKUP($A281,'Change in Proportion Calc'!$A$5:$A$311,'Change in Proportion Calc'!N$5:N$311,"n",0,1)</f>
        <v>-225</v>
      </c>
      <c r="F281" s="234">
        <f>_xlfn.XLOOKUP($A281,'Change in Proportion Calc'!$A$5:$A$311,'Change in Proportion Calc'!O$5:O$311,"n",0,1)</f>
        <v>-225</v>
      </c>
      <c r="G281" s="234">
        <f>_xlfn.XLOOKUP($A281,'Change in Proportion Calc'!$A$5:$A$311,'Change in Proportion Calc'!P$5:P$311,"n",0,1)</f>
        <v>-173</v>
      </c>
      <c r="H281" s="54"/>
      <c r="I281" s="69">
        <v>-1211</v>
      </c>
      <c r="J281" s="69">
        <v>-1211</v>
      </c>
      <c r="K281" s="69">
        <v>-1211</v>
      </c>
      <c r="L281" s="69">
        <v>-1211</v>
      </c>
      <c r="M281" s="69">
        <v>-1124</v>
      </c>
      <c r="N281" s="54"/>
      <c r="O281" s="69">
        <v>14</v>
      </c>
      <c r="P281" s="69">
        <v>14</v>
      </c>
      <c r="Q281" s="69">
        <v>14</v>
      </c>
      <c r="R281" s="69">
        <v>10</v>
      </c>
      <c r="S281" s="69"/>
      <c r="T281" s="69">
        <v>-1944</v>
      </c>
      <c r="U281" s="69">
        <v>-1944</v>
      </c>
      <c r="V281" s="69">
        <v>-1728</v>
      </c>
      <c r="W281" s="54"/>
      <c r="X281" s="69">
        <v>-4940</v>
      </c>
      <c r="Y281" s="69">
        <v>-4843</v>
      </c>
      <c r="Z281" s="54"/>
      <c r="AA281" s="108">
        <v>-5806</v>
      </c>
      <c r="AB281" s="54"/>
      <c r="AC281" s="108">
        <f>VLOOKUP(A281,'Change in Proportion Calc'!$A$5:$H$311,8,FALSE)+SUMIF($C$5:$AB$5,2026,C281:AB281)</f>
        <v>-14112</v>
      </c>
      <c r="AE281" s="107">
        <f t="shared" si="21"/>
        <v>38</v>
      </c>
      <c r="AF281" s="107">
        <f t="shared" si="22"/>
        <v>14345</v>
      </c>
      <c r="AH281" s="107"/>
      <c r="AI281" s="108"/>
      <c r="AJ281" s="108"/>
      <c r="AK281" s="213">
        <f t="shared" si="20"/>
        <v>2270</v>
      </c>
      <c r="AL281" s="107">
        <f t="shared" si="19"/>
        <v>-8209</v>
      </c>
      <c r="AM281" s="107">
        <f t="shared" si="19"/>
        <v>-3150</v>
      </c>
      <c r="AN281" s="107">
        <f t="shared" si="19"/>
        <v>-1426</v>
      </c>
      <c r="AO281" s="107">
        <f t="shared" si="19"/>
        <v>-1349</v>
      </c>
      <c r="AP281" s="107">
        <f t="shared" si="19"/>
        <v>-173</v>
      </c>
    </row>
    <row r="282" spans="1:42">
      <c r="A282" s="51">
        <v>2300</v>
      </c>
      <c r="B282" s="55" t="s">
        <v>263</v>
      </c>
      <c r="C282" s="234">
        <f>_xlfn.XLOOKUP($A282,'Change in Proportion Calc'!$A$5:$A$311,'Change in Proportion Calc'!L$5:L$311,"n",0,1)</f>
        <v>-11332</v>
      </c>
      <c r="D282" s="234">
        <f>_xlfn.XLOOKUP($A282,'Change in Proportion Calc'!$A$5:$A$311,'Change in Proportion Calc'!M$5:M$311,"n",0,1)</f>
        <v>-11332</v>
      </c>
      <c r="E282" s="234">
        <f>_xlfn.XLOOKUP($A282,'Change in Proportion Calc'!$A$5:$A$311,'Change in Proportion Calc'!N$5:N$311,"n",0,1)</f>
        <v>-11332</v>
      </c>
      <c r="F282" s="234">
        <f>_xlfn.XLOOKUP($A282,'Change in Proportion Calc'!$A$5:$A$311,'Change in Proportion Calc'!O$5:O$311,"n",0,1)</f>
        <v>-11332</v>
      </c>
      <c r="G282" s="234">
        <f>_xlfn.XLOOKUP($A282,'Change in Proportion Calc'!$A$5:$A$311,'Change in Proportion Calc'!P$5:P$311,"n",0,1)</f>
        <v>-8723</v>
      </c>
      <c r="H282" s="54"/>
      <c r="I282" s="69">
        <v>24947</v>
      </c>
      <c r="J282" s="69">
        <v>24947</v>
      </c>
      <c r="K282" s="69">
        <v>24947</v>
      </c>
      <c r="L282" s="69">
        <v>24947</v>
      </c>
      <c r="M282" s="69">
        <v>23200</v>
      </c>
      <c r="N282" s="54"/>
      <c r="O282" s="69">
        <v>12111</v>
      </c>
      <c r="P282" s="69">
        <v>12111</v>
      </c>
      <c r="Q282" s="69">
        <v>12111</v>
      </c>
      <c r="R282" s="69">
        <v>10537</v>
      </c>
      <c r="S282" s="69"/>
      <c r="T282" s="69">
        <v>5175</v>
      </c>
      <c r="U282" s="69">
        <v>5175</v>
      </c>
      <c r="V282" s="69">
        <v>4604</v>
      </c>
      <c r="W282" s="54"/>
      <c r="X282" s="69">
        <v>-6236</v>
      </c>
      <c r="Y282" s="69">
        <v>-6112</v>
      </c>
      <c r="Z282" s="54"/>
      <c r="AA282" s="108">
        <v>1852</v>
      </c>
      <c r="AB282" s="54"/>
      <c r="AC282" s="108">
        <f>VLOOKUP(A282,'Change in Proportion Calc'!$A$5:$H$311,8,FALSE)+SUMIF($C$5:$AB$5,2026,C282:AB282)</f>
        <v>26517</v>
      </c>
      <c r="AE282" s="107">
        <f t="shared" si="21"/>
        <v>142579</v>
      </c>
      <c r="AF282" s="107">
        <f t="shared" si="22"/>
        <v>60163</v>
      </c>
      <c r="AH282" s="107"/>
      <c r="AI282" s="108"/>
      <c r="AJ282" s="108"/>
      <c r="AK282" s="213">
        <f t="shared" si="20"/>
        <v>2300</v>
      </c>
      <c r="AL282" s="107">
        <f t="shared" si="19"/>
        <v>24789</v>
      </c>
      <c r="AM282" s="107">
        <f t="shared" si="19"/>
        <v>30330</v>
      </c>
      <c r="AN282" s="107">
        <f t="shared" si="19"/>
        <v>24152</v>
      </c>
      <c r="AO282" s="107">
        <f t="shared" si="19"/>
        <v>11868</v>
      </c>
      <c r="AP282" s="107">
        <f t="shared" si="19"/>
        <v>-8723</v>
      </c>
    </row>
    <row r="283" spans="1:42">
      <c r="A283" s="53">
        <v>2720</v>
      </c>
      <c r="B283" s="54" t="s">
        <v>264</v>
      </c>
      <c r="C283" s="234">
        <f>_xlfn.XLOOKUP($A283,'Change in Proportion Calc'!$A$5:$A$311,'Change in Proportion Calc'!L$5:L$311,"n",0,1)</f>
        <v>5453</v>
      </c>
      <c r="D283" s="234">
        <f>_xlfn.XLOOKUP($A283,'Change in Proportion Calc'!$A$5:$A$311,'Change in Proportion Calc'!M$5:M$311,"n",0,1)</f>
        <v>5453</v>
      </c>
      <c r="E283" s="234">
        <f>_xlfn.XLOOKUP($A283,'Change in Proportion Calc'!$A$5:$A$311,'Change in Proportion Calc'!N$5:N$311,"n",0,1)</f>
        <v>5453</v>
      </c>
      <c r="F283" s="234">
        <f>_xlfn.XLOOKUP($A283,'Change in Proportion Calc'!$A$5:$A$311,'Change in Proportion Calc'!O$5:O$311,"n",0,1)</f>
        <v>5453</v>
      </c>
      <c r="G283" s="234">
        <f>_xlfn.XLOOKUP($A283,'Change in Proportion Calc'!$A$5:$A$311,'Change in Proportion Calc'!P$5:P$311,"n",0,1)</f>
        <v>4196</v>
      </c>
      <c r="H283" s="54"/>
      <c r="I283" s="69">
        <v>-36310</v>
      </c>
      <c r="J283" s="69">
        <v>-36310</v>
      </c>
      <c r="K283" s="69">
        <v>-36310</v>
      </c>
      <c r="L283" s="69">
        <v>-36310</v>
      </c>
      <c r="M283" s="69">
        <v>-33767</v>
      </c>
      <c r="N283" s="54"/>
      <c r="O283" s="69">
        <v>-7732</v>
      </c>
      <c r="P283" s="69">
        <v>-7732</v>
      </c>
      <c r="Q283" s="69">
        <v>-7732</v>
      </c>
      <c r="R283" s="69">
        <v>-6725</v>
      </c>
      <c r="S283" s="69"/>
      <c r="T283" s="69">
        <v>13350</v>
      </c>
      <c r="U283" s="69">
        <v>13350</v>
      </c>
      <c r="V283" s="69">
        <v>11881</v>
      </c>
      <c r="W283" s="54"/>
      <c r="X283" s="69">
        <v>17089</v>
      </c>
      <c r="Y283" s="69">
        <v>16746</v>
      </c>
      <c r="Z283" s="54"/>
      <c r="AA283" s="108">
        <v>-88190</v>
      </c>
      <c r="AB283" s="54"/>
      <c r="AC283" s="108">
        <f>VLOOKUP(A283,'Change in Proportion Calc'!$A$5:$H$311,8,FALSE)+SUMIF($C$5:$AB$5,2026,C283:AB283)</f>
        <v>-96340</v>
      </c>
      <c r="AE283" s="107">
        <f t="shared" si="21"/>
        <v>67985</v>
      </c>
      <c r="AF283" s="107">
        <f t="shared" si="22"/>
        <v>164886</v>
      </c>
      <c r="AH283" s="107"/>
      <c r="AI283" s="108"/>
      <c r="AJ283" s="108"/>
      <c r="AK283" s="213">
        <f t="shared" si="20"/>
        <v>2720</v>
      </c>
      <c r="AL283" s="107">
        <f t="shared" ref="AL283:AP313" si="23">+SUMIF($C$5:$AB$5,AL$5,$C283:$AB283)</f>
        <v>-8493</v>
      </c>
      <c r="AM283" s="107">
        <f t="shared" si="23"/>
        <v>-26708</v>
      </c>
      <c r="AN283" s="107">
        <f t="shared" si="23"/>
        <v>-37582</v>
      </c>
      <c r="AO283" s="107">
        <f t="shared" si="23"/>
        <v>-28314</v>
      </c>
      <c r="AP283" s="107">
        <f t="shared" si="23"/>
        <v>4196</v>
      </c>
    </row>
    <row r="284" spans="1:42">
      <c r="A284" s="51">
        <v>2750</v>
      </c>
      <c r="B284" s="55" t="s">
        <v>265</v>
      </c>
      <c r="C284" s="234">
        <f>_xlfn.XLOOKUP($A284,'Change in Proportion Calc'!$A$5:$A$311,'Change in Proportion Calc'!L$5:L$311,"n",0,1)</f>
        <v>3105</v>
      </c>
      <c r="D284" s="234">
        <f>_xlfn.XLOOKUP($A284,'Change in Proportion Calc'!$A$5:$A$311,'Change in Proportion Calc'!M$5:M$311,"n",0,1)</f>
        <v>3105</v>
      </c>
      <c r="E284" s="234">
        <f>_xlfn.XLOOKUP($A284,'Change in Proportion Calc'!$A$5:$A$311,'Change in Proportion Calc'!N$5:N$311,"n",0,1)</f>
        <v>3105</v>
      </c>
      <c r="F284" s="234">
        <f>_xlfn.XLOOKUP($A284,'Change in Proportion Calc'!$A$5:$A$311,'Change in Proportion Calc'!O$5:O$311,"n",0,1)</f>
        <v>3105</v>
      </c>
      <c r="G284" s="234">
        <f>_xlfn.XLOOKUP($A284,'Change in Proportion Calc'!$A$5:$A$311,'Change in Proportion Calc'!P$5:P$311,"n",0,1)</f>
        <v>2391</v>
      </c>
      <c r="H284" s="54"/>
      <c r="I284" s="69">
        <v>-12593</v>
      </c>
      <c r="J284" s="69">
        <v>-12593</v>
      </c>
      <c r="K284" s="69">
        <v>-12593</v>
      </c>
      <c r="L284" s="69">
        <v>-12593</v>
      </c>
      <c r="M284" s="69">
        <v>-11711</v>
      </c>
      <c r="N284" s="54"/>
      <c r="O284" s="69">
        <v>-557</v>
      </c>
      <c r="P284" s="69">
        <v>-557</v>
      </c>
      <c r="Q284" s="69">
        <v>-557</v>
      </c>
      <c r="R284" s="69">
        <v>-487</v>
      </c>
      <c r="S284" s="69"/>
      <c r="T284" s="69">
        <v>10257</v>
      </c>
      <c r="U284" s="69">
        <v>10257</v>
      </c>
      <c r="V284" s="69">
        <v>9131</v>
      </c>
      <c r="W284" s="54"/>
      <c r="X284" s="69">
        <v>-6884</v>
      </c>
      <c r="Y284" s="69">
        <v>-6747</v>
      </c>
      <c r="Z284" s="54"/>
      <c r="AA284" s="108">
        <v>3620</v>
      </c>
      <c r="AB284" s="54"/>
      <c r="AC284" s="108">
        <f>VLOOKUP(A284,'Change in Proportion Calc'!$A$5:$H$311,8,FALSE)+SUMIF($C$5:$AB$5,2026,C284:AB284)</f>
        <v>-3052</v>
      </c>
      <c r="AE284" s="107">
        <f t="shared" si="21"/>
        <v>34199</v>
      </c>
      <c r="AF284" s="107">
        <f t="shared" si="22"/>
        <v>57838</v>
      </c>
      <c r="AH284" s="107"/>
      <c r="AI284" s="108"/>
      <c r="AJ284" s="108"/>
      <c r="AK284" s="213">
        <f t="shared" si="20"/>
        <v>2750</v>
      </c>
      <c r="AL284" s="107">
        <f t="shared" si="23"/>
        <v>-6535</v>
      </c>
      <c r="AM284" s="107">
        <f t="shared" si="23"/>
        <v>-914</v>
      </c>
      <c r="AN284" s="107">
        <f t="shared" si="23"/>
        <v>-9975</v>
      </c>
      <c r="AO284" s="107">
        <f t="shared" si="23"/>
        <v>-8606</v>
      </c>
      <c r="AP284" s="107">
        <f t="shared" si="23"/>
        <v>2391</v>
      </c>
    </row>
    <row r="285" spans="1:42">
      <c r="A285" s="53">
        <v>2770</v>
      </c>
      <c r="B285" s="54" t="s">
        <v>266</v>
      </c>
      <c r="C285" s="234">
        <f>_xlfn.XLOOKUP($A285,'Change in Proportion Calc'!$A$5:$A$311,'Change in Proportion Calc'!L$5:L$311,"n",0,1)</f>
        <v>48689</v>
      </c>
      <c r="D285" s="234">
        <f>_xlfn.XLOOKUP($A285,'Change in Proportion Calc'!$A$5:$A$311,'Change in Proportion Calc'!M$5:M$311,"n",0,1)</f>
        <v>48689</v>
      </c>
      <c r="E285" s="234">
        <f>_xlfn.XLOOKUP($A285,'Change in Proportion Calc'!$A$5:$A$311,'Change in Proportion Calc'!N$5:N$311,"n",0,1)</f>
        <v>48689</v>
      </c>
      <c r="F285" s="234">
        <f>_xlfn.XLOOKUP($A285,'Change in Proportion Calc'!$A$5:$A$311,'Change in Proportion Calc'!O$5:O$311,"n",0,1)</f>
        <v>48689</v>
      </c>
      <c r="G285" s="234">
        <f>_xlfn.XLOOKUP($A285,'Change in Proportion Calc'!$A$5:$A$311,'Change in Proportion Calc'!P$5:P$311,"n",0,1)</f>
        <v>37493</v>
      </c>
      <c r="H285" s="54"/>
      <c r="I285" s="69">
        <v>-3265</v>
      </c>
      <c r="J285" s="69">
        <v>-3265</v>
      </c>
      <c r="K285" s="69">
        <v>-3265</v>
      </c>
      <c r="L285" s="69">
        <v>-3265</v>
      </c>
      <c r="M285" s="69">
        <v>-3035</v>
      </c>
      <c r="N285" s="54"/>
      <c r="O285" s="69">
        <v>-12627</v>
      </c>
      <c r="P285" s="69">
        <v>-12627</v>
      </c>
      <c r="Q285" s="69">
        <v>-12627</v>
      </c>
      <c r="R285" s="69">
        <v>-10985</v>
      </c>
      <c r="S285" s="69"/>
      <c r="T285" s="69">
        <v>87335</v>
      </c>
      <c r="U285" s="69">
        <v>87335</v>
      </c>
      <c r="V285" s="69">
        <v>77726</v>
      </c>
      <c r="W285" s="54"/>
      <c r="X285" s="69">
        <v>-54749</v>
      </c>
      <c r="Y285" s="69">
        <v>-53653</v>
      </c>
      <c r="Z285" s="54"/>
      <c r="AA285" s="108">
        <v>-107127</v>
      </c>
      <c r="AB285" s="54"/>
      <c r="AC285" s="108">
        <f>VLOOKUP(A285,'Change in Proportion Calc'!$A$5:$H$311,8,FALSE)+SUMIF($C$5:$AB$5,2026,C285:AB285)</f>
        <v>-41744</v>
      </c>
      <c r="AE285" s="107">
        <f t="shared" si="21"/>
        <v>397310</v>
      </c>
      <c r="AF285" s="107">
        <f t="shared" si="22"/>
        <v>102722</v>
      </c>
      <c r="AH285" s="107"/>
      <c r="AI285" s="108"/>
      <c r="AJ285" s="108"/>
      <c r="AK285" s="213">
        <f t="shared" si="20"/>
        <v>2770</v>
      </c>
      <c r="AL285" s="107">
        <f t="shared" si="23"/>
        <v>66479</v>
      </c>
      <c r="AM285" s="107">
        <f t="shared" si="23"/>
        <v>110523</v>
      </c>
      <c r="AN285" s="107">
        <f t="shared" si="23"/>
        <v>34439</v>
      </c>
      <c r="AO285" s="107">
        <f t="shared" si="23"/>
        <v>45654</v>
      </c>
      <c r="AP285" s="107">
        <f t="shared" si="23"/>
        <v>37493</v>
      </c>
    </row>
    <row r="286" spans="1:42">
      <c r="A286" s="51">
        <v>32106</v>
      </c>
      <c r="B286" s="55" t="s">
        <v>267</v>
      </c>
      <c r="C286" s="234">
        <f>_xlfn.XLOOKUP($A286,'Change in Proportion Calc'!$A$5:$A$311,'Change in Proportion Calc'!L$5:L$311,"n",0,1)</f>
        <v>15307</v>
      </c>
      <c r="D286" s="234">
        <f>_xlfn.XLOOKUP($A286,'Change in Proportion Calc'!$A$5:$A$311,'Change in Proportion Calc'!M$5:M$311,"n",0,1)</f>
        <v>15307</v>
      </c>
      <c r="E286" s="234">
        <f>_xlfn.XLOOKUP($A286,'Change in Proportion Calc'!$A$5:$A$311,'Change in Proportion Calc'!N$5:N$311,"n",0,1)</f>
        <v>15307</v>
      </c>
      <c r="F286" s="234">
        <f>_xlfn.XLOOKUP($A286,'Change in Proportion Calc'!$A$5:$A$311,'Change in Proportion Calc'!O$5:O$311,"n",0,1)</f>
        <v>15307</v>
      </c>
      <c r="G286" s="234">
        <f>_xlfn.XLOOKUP($A286,'Change in Proportion Calc'!$A$5:$A$311,'Change in Proportion Calc'!P$5:P$311,"n",0,1)</f>
        <v>11784</v>
      </c>
      <c r="H286" s="54"/>
      <c r="I286" s="69">
        <v>-24130</v>
      </c>
      <c r="J286" s="69">
        <v>-24130</v>
      </c>
      <c r="K286" s="69">
        <v>-24130</v>
      </c>
      <c r="L286" s="69">
        <v>-24130</v>
      </c>
      <c r="M286" s="69">
        <v>-22438</v>
      </c>
      <c r="N286" s="54"/>
      <c r="O286" s="69">
        <v>-25020</v>
      </c>
      <c r="P286" s="69">
        <v>-25020</v>
      </c>
      <c r="Q286" s="69">
        <v>-25020</v>
      </c>
      <c r="R286" s="69">
        <v>-21766</v>
      </c>
      <c r="S286" s="69"/>
      <c r="T286" s="69">
        <v>-12275</v>
      </c>
      <c r="U286" s="69">
        <v>-12275</v>
      </c>
      <c r="V286" s="69">
        <v>-10927</v>
      </c>
      <c r="W286" s="54"/>
      <c r="X286" s="69">
        <v>33611</v>
      </c>
      <c r="Y286" s="69">
        <v>32937</v>
      </c>
      <c r="Z286" s="54"/>
      <c r="AA286" s="108">
        <v>-20279</v>
      </c>
      <c r="AB286" s="54"/>
      <c r="AC286" s="108">
        <f>VLOOKUP(A286,'Change in Proportion Calc'!$A$5:$H$311,8,FALSE)+SUMIF($C$5:$AB$5,2026,C286:AB286)</f>
        <v>-32786</v>
      </c>
      <c r="AE286" s="107">
        <f t="shared" si="21"/>
        <v>105949</v>
      </c>
      <c r="AF286" s="107">
        <f t="shared" si="22"/>
        <v>189836</v>
      </c>
      <c r="AH286" s="107"/>
      <c r="AI286" s="108"/>
      <c r="AJ286" s="108"/>
      <c r="AK286" s="213">
        <f t="shared" si="20"/>
        <v>32106</v>
      </c>
      <c r="AL286" s="107">
        <f t="shared" si="23"/>
        <v>-13181</v>
      </c>
      <c r="AM286" s="107">
        <f t="shared" si="23"/>
        <v>-44770</v>
      </c>
      <c r="AN286" s="107">
        <f t="shared" si="23"/>
        <v>-30589</v>
      </c>
      <c r="AO286" s="107">
        <f t="shared" si="23"/>
        <v>-7131</v>
      </c>
      <c r="AP286" s="107">
        <f t="shared" si="23"/>
        <v>11784</v>
      </c>
    </row>
    <row r="287" spans="1:42">
      <c r="A287" s="53">
        <v>4180</v>
      </c>
      <c r="B287" s="54" t="s">
        <v>268</v>
      </c>
      <c r="C287" s="234">
        <f>_xlfn.XLOOKUP($A287,'Change in Proportion Calc'!$A$5:$A$311,'Change in Proportion Calc'!L$5:L$311,"n",0,1)</f>
        <v>4479</v>
      </c>
      <c r="D287" s="234">
        <f>_xlfn.XLOOKUP($A287,'Change in Proportion Calc'!$A$5:$A$311,'Change in Proportion Calc'!M$5:M$311,"n",0,1)</f>
        <v>4479</v>
      </c>
      <c r="E287" s="234">
        <f>_xlfn.XLOOKUP($A287,'Change in Proportion Calc'!$A$5:$A$311,'Change in Proportion Calc'!N$5:N$311,"n",0,1)</f>
        <v>4479</v>
      </c>
      <c r="F287" s="234">
        <f>_xlfn.XLOOKUP($A287,'Change in Proportion Calc'!$A$5:$A$311,'Change in Proportion Calc'!O$5:O$311,"n",0,1)</f>
        <v>4479</v>
      </c>
      <c r="G287" s="234">
        <f>_xlfn.XLOOKUP($A287,'Change in Proportion Calc'!$A$5:$A$311,'Change in Proportion Calc'!P$5:P$311,"n",0,1)</f>
        <v>3451</v>
      </c>
      <c r="H287" s="54"/>
      <c r="I287" s="69">
        <v>-5641</v>
      </c>
      <c r="J287" s="69">
        <v>-5641</v>
      </c>
      <c r="K287" s="69">
        <v>-5641</v>
      </c>
      <c r="L287" s="69">
        <v>-5641</v>
      </c>
      <c r="M287" s="69">
        <v>-5246</v>
      </c>
      <c r="N287" s="54"/>
      <c r="O287" s="69">
        <v>-7535</v>
      </c>
      <c r="P287" s="69">
        <v>-7535</v>
      </c>
      <c r="Q287" s="69">
        <v>-7535</v>
      </c>
      <c r="R287" s="69">
        <v>-6556</v>
      </c>
      <c r="S287" s="69"/>
      <c r="T287" s="69">
        <v>-12390</v>
      </c>
      <c r="U287" s="69">
        <v>-12390</v>
      </c>
      <c r="V287" s="69">
        <v>-11026</v>
      </c>
      <c r="W287" s="54"/>
      <c r="X287" s="69">
        <v>16846</v>
      </c>
      <c r="Y287" s="69">
        <v>16508</v>
      </c>
      <c r="Z287" s="54"/>
      <c r="AA287" s="108">
        <v>-10856</v>
      </c>
      <c r="AB287" s="54"/>
      <c r="AC287" s="108">
        <f>VLOOKUP(A287,'Change in Proportion Calc'!$A$5:$H$311,8,FALSE)+SUMIF($C$5:$AB$5,2026,C287:AB287)</f>
        <v>-15097</v>
      </c>
      <c r="AE287" s="107">
        <f t="shared" si="21"/>
        <v>37875</v>
      </c>
      <c r="AF287" s="107">
        <f t="shared" si="22"/>
        <v>67211</v>
      </c>
      <c r="AH287" s="107"/>
      <c r="AI287" s="108"/>
      <c r="AJ287" s="108"/>
      <c r="AK287" s="213">
        <f t="shared" si="20"/>
        <v>4180</v>
      </c>
      <c r="AL287" s="107">
        <f t="shared" si="23"/>
        <v>-4579</v>
      </c>
      <c r="AM287" s="107">
        <f t="shared" si="23"/>
        <v>-19723</v>
      </c>
      <c r="AN287" s="107">
        <f t="shared" si="23"/>
        <v>-7718</v>
      </c>
      <c r="AO287" s="107">
        <f t="shared" si="23"/>
        <v>-767</v>
      </c>
      <c r="AP287" s="107">
        <f t="shared" si="23"/>
        <v>3451</v>
      </c>
    </row>
    <row r="288" spans="1:42">
      <c r="A288" s="51">
        <v>21063</v>
      </c>
      <c r="B288" s="55" t="s">
        <v>269</v>
      </c>
      <c r="C288" s="234">
        <f>_xlfn.XLOOKUP($A288,'Change in Proportion Calc'!$A$5:$A$311,'Change in Proportion Calc'!L$5:L$311,"n",0,1)</f>
        <v>-25979</v>
      </c>
      <c r="D288" s="234">
        <f>_xlfn.XLOOKUP($A288,'Change in Proportion Calc'!$A$5:$A$311,'Change in Proportion Calc'!M$5:M$311,"n",0,1)</f>
        <v>-25979</v>
      </c>
      <c r="E288" s="234">
        <f>_xlfn.XLOOKUP($A288,'Change in Proportion Calc'!$A$5:$A$311,'Change in Proportion Calc'!N$5:N$311,"n",0,1)</f>
        <v>-25979</v>
      </c>
      <c r="F288" s="234">
        <f>_xlfn.XLOOKUP($A288,'Change in Proportion Calc'!$A$5:$A$311,'Change in Proportion Calc'!O$5:O$311,"n",0,1)</f>
        <v>-25979</v>
      </c>
      <c r="G288" s="234">
        <f>_xlfn.XLOOKUP($A288,'Change in Proportion Calc'!$A$5:$A$311,'Change in Proportion Calc'!P$5:P$311,"n",0,1)</f>
        <v>-20001</v>
      </c>
      <c r="H288" s="54"/>
      <c r="I288" s="69">
        <v>75155</v>
      </c>
      <c r="J288" s="69">
        <v>75155</v>
      </c>
      <c r="K288" s="69">
        <v>75155</v>
      </c>
      <c r="L288" s="69">
        <v>75155</v>
      </c>
      <c r="M288" s="69">
        <v>69897</v>
      </c>
      <c r="N288" s="54"/>
      <c r="O288" s="69">
        <v>-28330</v>
      </c>
      <c r="P288" s="69">
        <v>-28330</v>
      </c>
      <c r="Q288" s="69">
        <v>-28330</v>
      </c>
      <c r="R288" s="69">
        <v>-24647</v>
      </c>
      <c r="S288" s="69"/>
      <c r="T288" s="69">
        <v>8802</v>
      </c>
      <c r="U288" s="69">
        <v>8802</v>
      </c>
      <c r="V288" s="69">
        <v>7834</v>
      </c>
      <c r="W288" s="54"/>
      <c r="X288" s="69">
        <v>26564</v>
      </c>
      <c r="Y288" s="69">
        <v>26035</v>
      </c>
      <c r="Z288" s="54"/>
      <c r="AA288" s="108">
        <v>-23309</v>
      </c>
      <c r="AB288" s="54"/>
      <c r="AC288" s="108">
        <f>VLOOKUP(A288,'Change in Proportion Calc'!$A$5:$H$311,8,FALSE)+SUMIF($C$5:$AB$5,2026,C288:AB288)</f>
        <v>32903</v>
      </c>
      <c r="AE288" s="107">
        <f t="shared" si="21"/>
        <v>338033</v>
      </c>
      <c r="AF288" s="107">
        <f t="shared" si="22"/>
        <v>205224</v>
      </c>
      <c r="AH288" s="107"/>
      <c r="AI288" s="108"/>
      <c r="AJ288" s="108"/>
      <c r="AK288" s="213">
        <f t="shared" si="20"/>
        <v>21063</v>
      </c>
      <c r="AL288" s="107">
        <f t="shared" si="23"/>
        <v>55683</v>
      </c>
      <c r="AM288" s="107">
        <f t="shared" si="23"/>
        <v>28680</v>
      </c>
      <c r="AN288" s="107">
        <f t="shared" si="23"/>
        <v>24529</v>
      </c>
      <c r="AO288" s="107">
        <f t="shared" si="23"/>
        <v>43918</v>
      </c>
      <c r="AP288" s="107">
        <f t="shared" si="23"/>
        <v>-20001</v>
      </c>
    </row>
    <row r="289" spans="1:42">
      <c r="A289" s="53">
        <v>10033</v>
      </c>
      <c r="B289" s="54" t="s">
        <v>270</v>
      </c>
      <c r="C289" s="234">
        <f>_xlfn.XLOOKUP($A289,'Change in Proportion Calc'!$A$5:$A$311,'Change in Proportion Calc'!L$5:L$311,"n",0,1)</f>
        <v>-1838</v>
      </c>
      <c r="D289" s="234">
        <f>_xlfn.XLOOKUP($A289,'Change in Proportion Calc'!$A$5:$A$311,'Change in Proportion Calc'!M$5:M$311,"n",0,1)</f>
        <v>-1838</v>
      </c>
      <c r="E289" s="234">
        <f>_xlfn.XLOOKUP($A289,'Change in Proportion Calc'!$A$5:$A$311,'Change in Proportion Calc'!N$5:N$311,"n",0,1)</f>
        <v>-1838</v>
      </c>
      <c r="F289" s="234">
        <f>_xlfn.XLOOKUP($A289,'Change in Proportion Calc'!$A$5:$A$311,'Change in Proportion Calc'!O$5:O$311,"n",0,1)</f>
        <v>-1838</v>
      </c>
      <c r="G289" s="234">
        <f>_xlfn.XLOOKUP($A289,'Change in Proportion Calc'!$A$5:$A$311,'Change in Proportion Calc'!P$5:P$311,"n",0,1)</f>
        <v>-1416</v>
      </c>
      <c r="H289" s="54"/>
      <c r="I289" s="69">
        <v>-52933</v>
      </c>
      <c r="J289" s="69">
        <v>-52933</v>
      </c>
      <c r="K289" s="69">
        <v>-52933</v>
      </c>
      <c r="L289" s="69">
        <v>-52933</v>
      </c>
      <c r="M289" s="69">
        <v>-49228</v>
      </c>
      <c r="N289" s="54"/>
      <c r="O289" s="69">
        <v>21114</v>
      </c>
      <c r="P289" s="69">
        <v>21114</v>
      </c>
      <c r="Q289" s="69">
        <v>21114</v>
      </c>
      <c r="R289" s="69">
        <v>18370</v>
      </c>
      <c r="S289" s="69"/>
      <c r="T289" s="69">
        <v>-17113</v>
      </c>
      <c r="U289" s="69">
        <v>-17113</v>
      </c>
      <c r="V289" s="69">
        <v>-15233</v>
      </c>
      <c r="W289" s="54"/>
      <c r="X289" s="69">
        <v>26079</v>
      </c>
      <c r="Y289" s="69">
        <v>25555</v>
      </c>
      <c r="Z289" s="54"/>
      <c r="AA289" s="108">
        <v>-21123</v>
      </c>
      <c r="AB289" s="54"/>
      <c r="AC289" s="108">
        <f>VLOOKUP(A289,'Change in Proportion Calc'!$A$5:$H$311,8,FALSE)+SUMIF($C$5:$AB$5,2026,C289:AB289)</f>
        <v>-45814</v>
      </c>
      <c r="AE289" s="107">
        <f t="shared" si="21"/>
        <v>86153</v>
      </c>
      <c r="AF289" s="107">
        <f t="shared" si="22"/>
        <v>249141</v>
      </c>
      <c r="AH289" s="107"/>
      <c r="AI289" s="108"/>
      <c r="AJ289" s="108"/>
      <c r="AK289" s="213">
        <f t="shared" si="20"/>
        <v>10033</v>
      </c>
      <c r="AL289" s="107">
        <f t="shared" si="23"/>
        <v>-25215</v>
      </c>
      <c r="AM289" s="107">
        <f t="shared" si="23"/>
        <v>-48890</v>
      </c>
      <c r="AN289" s="107">
        <f t="shared" si="23"/>
        <v>-36401</v>
      </c>
      <c r="AO289" s="107">
        <f t="shared" si="23"/>
        <v>-51066</v>
      </c>
      <c r="AP289" s="107">
        <f t="shared" si="23"/>
        <v>-1416</v>
      </c>
    </row>
    <row r="290" spans="1:42">
      <c r="A290" s="51">
        <v>15049</v>
      </c>
      <c r="B290" s="55" t="s">
        <v>271</v>
      </c>
      <c r="C290" s="234">
        <f>_xlfn.XLOOKUP($A290,'Change in Proportion Calc'!$A$5:$A$311,'Change in Proportion Calc'!L$5:L$311,"n",0,1)</f>
        <v>-72827</v>
      </c>
      <c r="D290" s="234">
        <f>_xlfn.XLOOKUP($A290,'Change in Proportion Calc'!$A$5:$A$311,'Change in Proportion Calc'!M$5:M$311,"n",0,1)</f>
        <v>-72827</v>
      </c>
      <c r="E290" s="234">
        <f>_xlfn.XLOOKUP($A290,'Change in Proportion Calc'!$A$5:$A$311,'Change in Proportion Calc'!N$5:N$311,"n",0,1)</f>
        <v>-72827</v>
      </c>
      <c r="F290" s="234">
        <f>_xlfn.XLOOKUP($A290,'Change in Proportion Calc'!$A$5:$A$311,'Change in Proportion Calc'!O$5:O$311,"n",0,1)</f>
        <v>-72827</v>
      </c>
      <c r="G290" s="234">
        <f>_xlfn.XLOOKUP($A290,'Change in Proportion Calc'!$A$5:$A$311,'Change in Proportion Calc'!P$5:P$311,"n",0,1)</f>
        <v>-56077</v>
      </c>
      <c r="H290" s="54"/>
      <c r="I290" s="69">
        <v>8439</v>
      </c>
      <c r="J290" s="69">
        <v>8439</v>
      </c>
      <c r="K290" s="69">
        <v>8439</v>
      </c>
      <c r="L290" s="69">
        <v>8439</v>
      </c>
      <c r="M290" s="69">
        <v>7851</v>
      </c>
      <c r="N290" s="54"/>
      <c r="O290" s="69">
        <v>86635</v>
      </c>
      <c r="P290" s="69">
        <v>86635</v>
      </c>
      <c r="Q290" s="69">
        <v>86635</v>
      </c>
      <c r="R290" s="69">
        <v>75374</v>
      </c>
      <c r="S290" s="69"/>
      <c r="T290" s="69">
        <v>29231</v>
      </c>
      <c r="U290" s="69">
        <v>29231</v>
      </c>
      <c r="V290" s="69">
        <v>26018</v>
      </c>
      <c r="W290" s="54"/>
      <c r="X290" s="69">
        <v>-1863</v>
      </c>
      <c r="Y290" s="69">
        <v>-1824</v>
      </c>
      <c r="Z290" s="54"/>
      <c r="AA290" s="108">
        <v>-14560</v>
      </c>
      <c r="AB290" s="54"/>
      <c r="AC290" s="108">
        <f>VLOOKUP(A290,'Change in Proportion Calc'!$A$5:$H$311,8,FALSE)+SUMIF($C$5:$AB$5,2026,C290:AB290)</f>
        <v>35055</v>
      </c>
      <c r="AE290" s="107">
        <f t="shared" si="21"/>
        <v>337061</v>
      </c>
      <c r="AF290" s="107">
        <f t="shared" si="22"/>
        <v>349209</v>
      </c>
      <c r="AH290" s="107"/>
      <c r="AI290" s="108"/>
      <c r="AJ290" s="108"/>
      <c r="AK290" s="213">
        <f t="shared" si="20"/>
        <v>15049</v>
      </c>
      <c r="AL290" s="107">
        <f t="shared" si="23"/>
        <v>49654</v>
      </c>
      <c r="AM290" s="107">
        <f t="shared" si="23"/>
        <v>48265</v>
      </c>
      <c r="AN290" s="107">
        <f t="shared" si="23"/>
        <v>10986</v>
      </c>
      <c r="AO290" s="107">
        <f t="shared" si="23"/>
        <v>-64976</v>
      </c>
      <c r="AP290" s="107">
        <f t="shared" si="23"/>
        <v>-56077</v>
      </c>
    </row>
    <row r="291" spans="1:42">
      <c r="A291" s="53">
        <v>1315</v>
      </c>
      <c r="B291" s="54" t="s">
        <v>272</v>
      </c>
      <c r="C291" s="234">
        <f>_xlfn.XLOOKUP($A291,'Change in Proportion Calc'!$A$5:$A$311,'Change in Proportion Calc'!L$5:L$311,"n",0,1)</f>
        <v>-19771</v>
      </c>
      <c r="D291" s="234">
        <f>_xlfn.XLOOKUP($A291,'Change in Proportion Calc'!$A$5:$A$311,'Change in Proportion Calc'!M$5:M$311,"n",0,1)</f>
        <v>-19771</v>
      </c>
      <c r="E291" s="234">
        <f>_xlfn.XLOOKUP($A291,'Change in Proportion Calc'!$A$5:$A$311,'Change in Proportion Calc'!N$5:N$311,"n",0,1)</f>
        <v>-19771</v>
      </c>
      <c r="F291" s="234">
        <f>_xlfn.XLOOKUP($A291,'Change in Proportion Calc'!$A$5:$A$311,'Change in Proportion Calc'!O$5:O$311,"n",0,1)</f>
        <v>-19771</v>
      </c>
      <c r="G291" s="234">
        <f>_xlfn.XLOOKUP($A291,'Change in Proportion Calc'!$A$5:$A$311,'Change in Proportion Calc'!P$5:P$311,"n",0,1)</f>
        <v>-15223</v>
      </c>
      <c r="H291" s="54"/>
      <c r="I291" s="69">
        <v>-41439</v>
      </c>
      <c r="J291" s="69">
        <v>-41439</v>
      </c>
      <c r="K291" s="69">
        <v>-41439</v>
      </c>
      <c r="L291" s="69">
        <v>-41439</v>
      </c>
      <c r="M291" s="69">
        <v>-38538</v>
      </c>
      <c r="N291" s="54"/>
      <c r="O291" s="69">
        <v>6016</v>
      </c>
      <c r="P291" s="69">
        <v>6016</v>
      </c>
      <c r="Q291" s="69">
        <v>6016</v>
      </c>
      <c r="R291" s="69">
        <v>5236</v>
      </c>
      <c r="S291" s="69"/>
      <c r="T291" s="69">
        <v>92431</v>
      </c>
      <c r="U291" s="69">
        <v>92431</v>
      </c>
      <c r="V291" s="69">
        <v>82266</v>
      </c>
      <c r="W291" s="54"/>
      <c r="X291" s="69">
        <v>35554</v>
      </c>
      <c r="Y291" s="69">
        <v>34845</v>
      </c>
      <c r="Z291" s="54"/>
      <c r="AA291" s="108">
        <v>63535</v>
      </c>
      <c r="AB291" s="54"/>
      <c r="AC291" s="108">
        <f>VLOOKUP(A291,'Change in Proportion Calc'!$A$5:$H$311,8,FALSE)+SUMIF($C$5:$AB$5,2026,C291:AB291)</f>
        <v>136326</v>
      </c>
      <c r="AE291" s="107">
        <f t="shared" si="21"/>
        <v>226810</v>
      </c>
      <c r="AF291" s="107">
        <f t="shared" si="22"/>
        <v>257162</v>
      </c>
      <c r="AH291" s="107"/>
      <c r="AI291" s="108"/>
      <c r="AJ291" s="108"/>
      <c r="AK291" s="213">
        <f t="shared" si="20"/>
        <v>1315</v>
      </c>
      <c r="AL291" s="107">
        <f t="shared" si="23"/>
        <v>72082</v>
      </c>
      <c r="AM291" s="107">
        <f t="shared" si="23"/>
        <v>27072</v>
      </c>
      <c r="AN291" s="107">
        <f t="shared" si="23"/>
        <v>-55974</v>
      </c>
      <c r="AO291" s="107">
        <f t="shared" si="23"/>
        <v>-58309</v>
      </c>
      <c r="AP291" s="107">
        <f t="shared" si="23"/>
        <v>-15223</v>
      </c>
    </row>
    <row r="292" spans="1:42">
      <c r="A292" s="51">
        <v>3340</v>
      </c>
      <c r="B292" s="55" t="s">
        <v>273</v>
      </c>
      <c r="C292" s="234">
        <f>_xlfn.XLOOKUP($A292,'Change in Proportion Calc'!$A$5:$A$311,'Change in Proportion Calc'!L$5:L$311,"n",0,1)</f>
        <v>-1529</v>
      </c>
      <c r="D292" s="234">
        <f>_xlfn.XLOOKUP($A292,'Change in Proportion Calc'!$A$5:$A$311,'Change in Proportion Calc'!M$5:M$311,"n",0,1)</f>
        <v>-1529</v>
      </c>
      <c r="E292" s="234">
        <f>_xlfn.XLOOKUP($A292,'Change in Proportion Calc'!$A$5:$A$311,'Change in Proportion Calc'!N$5:N$311,"n",0,1)</f>
        <v>-1529</v>
      </c>
      <c r="F292" s="234">
        <f>_xlfn.XLOOKUP($A292,'Change in Proportion Calc'!$A$5:$A$311,'Change in Proportion Calc'!O$5:O$311,"n",0,1)</f>
        <v>-1529</v>
      </c>
      <c r="G292" s="234">
        <f>_xlfn.XLOOKUP($A292,'Change in Proportion Calc'!$A$5:$A$311,'Change in Proportion Calc'!P$5:P$311,"n",0,1)</f>
        <v>-1178</v>
      </c>
      <c r="H292" s="54"/>
      <c r="I292" s="69">
        <v>-12527</v>
      </c>
      <c r="J292" s="69">
        <v>-12527</v>
      </c>
      <c r="K292" s="69">
        <v>-12527</v>
      </c>
      <c r="L292" s="69">
        <v>-12527</v>
      </c>
      <c r="M292" s="69">
        <v>-11648</v>
      </c>
      <c r="N292" s="54"/>
      <c r="O292" s="69">
        <v>-38372</v>
      </c>
      <c r="P292" s="69">
        <v>-38372</v>
      </c>
      <c r="Q292" s="69">
        <v>-38372</v>
      </c>
      <c r="R292" s="69">
        <v>-33385</v>
      </c>
      <c r="S292" s="69"/>
      <c r="T292" s="69">
        <v>3991</v>
      </c>
      <c r="U292" s="69">
        <v>3991</v>
      </c>
      <c r="V292" s="69">
        <v>3550</v>
      </c>
      <c r="W292" s="54"/>
      <c r="X292" s="69">
        <v>19113</v>
      </c>
      <c r="Y292" s="69">
        <v>18733</v>
      </c>
      <c r="Z292" s="54"/>
      <c r="AA292" s="108">
        <v>-35260</v>
      </c>
      <c r="AB292" s="54"/>
      <c r="AC292" s="108">
        <f>VLOOKUP(A292,'Change in Proportion Calc'!$A$5:$H$311,8,FALSE)+SUMIF($C$5:$AB$5,2026,C292:AB292)</f>
        <v>-64584</v>
      </c>
      <c r="AE292" s="107">
        <f t="shared" si="21"/>
        <v>26274</v>
      </c>
      <c r="AF292" s="107">
        <f t="shared" si="22"/>
        <v>166652</v>
      </c>
      <c r="AH292" s="107"/>
      <c r="AI292" s="108"/>
      <c r="AJ292" s="108"/>
      <c r="AK292" s="213">
        <f t="shared" si="20"/>
        <v>3340</v>
      </c>
      <c r="AL292" s="107">
        <f t="shared" si="23"/>
        <v>-29704</v>
      </c>
      <c r="AM292" s="107">
        <f t="shared" si="23"/>
        <v>-48878</v>
      </c>
      <c r="AN292" s="107">
        <f t="shared" si="23"/>
        <v>-47441</v>
      </c>
      <c r="AO292" s="107">
        <f t="shared" si="23"/>
        <v>-13177</v>
      </c>
      <c r="AP292" s="107">
        <f t="shared" si="23"/>
        <v>-1178</v>
      </c>
    </row>
    <row r="293" spans="1:42">
      <c r="A293" s="53">
        <v>3350</v>
      </c>
      <c r="B293" s="54" t="s">
        <v>274</v>
      </c>
      <c r="C293" s="234">
        <f>_xlfn.XLOOKUP($A293,'Change in Proportion Calc'!$A$5:$A$311,'Change in Proportion Calc'!L$5:L$311,"n",0,1)</f>
        <v>134804</v>
      </c>
      <c r="D293" s="234">
        <f>_xlfn.XLOOKUP($A293,'Change in Proportion Calc'!$A$5:$A$311,'Change in Proportion Calc'!M$5:M$311,"n",0,1)</f>
        <v>134804</v>
      </c>
      <c r="E293" s="234">
        <f>_xlfn.XLOOKUP($A293,'Change in Proportion Calc'!$A$5:$A$311,'Change in Proportion Calc'!N$5:N$311,"n",0,1)</f>
        <v>134804</v>
      </c>
      <c r="F293" s="234">
        <f>_xlfn.XLOOKUP($A293,'Change in Proportion Calc'!$A$5:$A$311,'Change in Proportion Calc'!O$5:O$311,"n",0,1)</f>
        <v>134804</v>
      </c>
      <c r="G293" s="234">
        <f>_xlfn.XLOOKUP($A293,'Change in Proportion Calc'!$A$5:$A$311,'Change in Proportion Calc'!P$5:P$311,"n",0,1)</f>
        <v>103798</v>
      </c>
      <c r="H293" s="54"/>
      <c r="I293" s="69">
        <v>52490</v>
      </c>
      <c r="J293" s="69">
        <v>52490</v>
      </c>
      <c r="K293" s="69">
        <v>52490</v>
      </c>
      <c r="L293" s="69">
        <v>52490</v>
      </c>
      <c r="M293" s="69">
        <v>48817</v>
      </c>
      <c r="N293" s="54"/>
      <c r="O293" s="69">
        <v>-76826</v>
      </c>
      <c r="P293" s="69">
        <v>-76826</v>
      </c>
      <c r="Q293" s="69">
        <v>-76826</v>
      </c>
      <c r="R293" s="69">
        <v>-66838</v>
      </c>
      <c r="S293" s="69"/>
      <c r="T293" s="69">
        <v>315731</v>
      </c>
      <c r="U293" s="69">
        <v>315731</v>
      </c>
      <c r="V293" s="69">
        <v>281003</v>
      </c>
      <c r="W293" s="54"/>
      <c r="X293" s="69">
        <v>-293344</v>
      </c>
      <c r="Y293" s="69">
        <v>-287476</v>
      </c>
      <c r="Z293" s="54"/>
      <c r="AA293" s="108">
        <v>-22302</v>
      </c>
      <c r="AB293" s="54"/>
      <c r="AC293" s="108">
        <f>VLOOKUP(A293,'Change in Proportion Calc'!$A$5:$H$311,8,FALSE)+SUMIF($C$5:$AB$5,2026,C293:AB293)</f>
        <v>110553</v>
      </c>
      <c r="AE293" s="107">
        <f t="shared" si="21"/>
        <v>1446035</v>
      </c>
      <c r="AF293" s="107">
        <f t="shared" si="22"/>
        <v>507966</v>
      </c>
      <c r="AH293" s="107"/>
      <c r="AI293" s="108"/>
      <c r="AJ293" s="108"/>
      <c r="AK293" s="213">
        <f t="shared" si="20"/>
        <v>3350</v>
      </c>
      <c r="AL293" s="107">
        <f t="shared" si="23"/>
        <v>138723</v>
      </c>
      <c r="AM293" s="107">
        <f t="shared" si="23"/>
        <v>391471</v>
      </c>
      <c r="AN293" s="107">
        <f t="shared" si="23"/>
        <v>120456</v>
      </c>
      <c r="AO293" s="107">
        <f t="shared" si="23"/>
        <v>183621</v>
      </c>
      <c r="AP293" s="107">
        <f t="shared" si="23"/>
        <v>103798</v>
      </c>
    </row>
    <row r="294" spans="1:42">
      <c r="A294" s="51">
        <v>24073</v>
      </c>
      <c r="B294" s="55" t="s">
        <v>275</v>
      </c>
      <c r="C294" s="234">
        <f>_xlfn.XLOOKUP($A294,'Change in Proportion Calc'!$A$5:$A$311,'Change in Proportion Calc'!L$5:L$311,"n",0,1)</f>
        <v>11476</v>
      </c>
      <c r="D294" s="234">
        <f>_xlfn.XLOOKUP($A294,'Change in Proportion Calc'!$A$5:$A$311,'Change in Proportion Calc'!M$5:M$311,"n",0,1)</f>
        <v>11476</v>
      </c>
      <c r="E294" s="234">
        <f>_xlfn.XLOOKUP($A294,'Change in Proportion Calc'!$A$5:$A$311,'Change in Proportion Calc'!N$5:N$311,"n",0,1)</f>
        <v>11476</v>
      </c>
      <c r="F294" s="234">
        <f>_xlfn.XLOOKUP($A294,'Change in Proportion Calc'!$A$5:$A$311,'Change in Proportion Calc'!O$5:O$311,"n",0,1)</f>
        <v>11476</v>
      </c>
      <c r="G294" s="234">
        <f>_xlfn.XLOOKUP($A294,'Change in Proportion Calc'!$A$5:$A$311,'Change in Proportion Calc'!P$5:P$311,"n",0,1)</f>
        <v>8837</v>
      </c>
      <c r="H294" s="54"/>
      <c r="I294" s="69">
        <v>-647</v>
      </c>
      <c r="J294" s="69">
        <v>-647</v>
      </c>
      <c r="K294" s="69">
        <v>-647</v>
      </c>
      <c r="L294" s="69">
        <v>-647</v>
      </c>
      <c r="M294" s="69">
        <v>-600</v>
      </c>
      <c r="N294" s="54"/>
      <c r="O294" s="69">
        <v>16514</v>
      </c>
      <c r="P294" s="69">
        <v>16514</v>
      </c>
      <c r="Q294" s="69">
        <v>16514</v>
      </c>
      <c r="R294" s="69">
        <v>14366</v>
      </c>
      <c r="S294" s="69"/>
      <c r="T294" s="69">
        <v>-13988</v>
      </c>
      <c r="U294" s="69">
        <v>-13988</v>
      </c>
      <c r="V294" s="69">
        <v>-12451</v>
      </c>
      <c r="W294" s="54"/>
      <c r="X294" s="69">
        <v>11339</v>
      </c>
      <c r="Y294" s="69">
        <v>11110</v>
      </c>
      <c r="Z294" s="54"/>
      <c r="AA294" s="108">
        <v>1346</v>
      </c>
      <c r="AB294" s="54"/>
      <c r="AC294" s="108">
        <f>VLOOKUP(A294,'Change in Proportion Calc'!$A$5:$H$311,8,FALSE)+SUMIF($C$5:$AB$5,2026,C294:AB294)</f>
        <v>26040</v>
      </c>
      <c r="AE294" s="107">
        <f t="shared" si="21"/>
        <v>113245</v>
      </c>
      <c r="AF294" s="107">
        <f t="shared" si="22"/>
        <v>28980</v>
      </c>
      <c r="AH294" s="107"/>
      <c r="AI294" s="108"/>
      <c r="AJ294" s="108"/>
      <c r="AK294" s="213">
        <f t="shared" si="20"/>
        <v>24073</v>
      </c>
      <c r="AL294" s="107">
        <f t="shared" si="23"/>
        <v>24465</v>
      </c>
      <c r="AM294" s="107">
        <f t="shared" si="23"/>
        <v>14892</v>
      </c>
      <c r="AN294" s="107">
        <f t="shared" si="23"/>
        <v>25195</v>
      </c>
      <c r="AO294" s="107">
        <f t="shared" si="23"/>
        <v>10876</v>
      </c>
      <c r="AP294" s="107">
        <f t="shared" si="23"/>
        <v>8837</v>
      </c>
    </row>
    <row r="295" spans="1:42">
      <c r="A295" s="88">
        <v>2100</v>
      </c>
      <c r="B295" s="89" t="s">
        <v>276</v>
      </c>
      <c r="C295" s="234">
        <f>_xlfn.XLOOKUP($A295,'Change in Proportion Calc'!$A$5:$A$311,'Change in Proportion Calc'!L$5:L$311,"n",0,1)</f>
        <v>4582</v>
      </c>
      <c r="D295" s="234">
        <f>_xlfn.XLOOKUP($A295,'Change in Proportion Calc'!$A$5:$A$311,'Change in Proportion Calc'!M$5:M$311,"n",0,1)</f>
        <v>4582</v>
      </c>
      <c r="E295" s="234">
        <f>_xlfn.XLOOKUP($A295,'Change in Proportion Calc'!$A$5:$A$311,'Change in Proportion Calc'!N$5:N$311,"n",0,1)</f>
        <v>4582</v>
      </c>
      <c r="F295" s="234">
        <f>_xlfn.XLOOKUP($A295,'Change in Proportion Calc'!$A$5:$A$311,'Change in Proportion Calc'!O$5:O$311,"n",0,1)</f>
        <v>4582</v>
      </c>
      <c r="G295" s="234">
        <f>_xlfn.XLOOKUP($A295,'Change in Proportion Calc'!$A$5:$A$311,'Change in Proportion Calc'!P$5:P$311,"n",0,1)</f>
        <v>3528</v>
      </c>
      <c r="H295" s="54"/>
      <c r="I295" s="69">
        <v>-15410</v>
      </c>
      <c r="J295" s="69">
        <v>-15410</v>
      </c>
      <c r="K295" s="69">
        <v>-15410</v>
      </c>
      <c r="L295" s="69">
        <v>-15410</v>
      </c>
      <c r="M295" s="69">
        <v>-14333</v>
      </c>
      <c r="N295" s="54"/>
      <c r="O295" s="69">
        <v>-20754</v>
      </c>
      <c r="P295" s="69">
        <v>-20754</v>
      </c>
      <c r="Q295" s="69">
        <v>-20754</v>
      </c>
      <c r="R295" s="69">
        <v>-18057</v>
      </c>
      <c r="S295" s="69"/>
      <c r="T295" s="69">
        <v>1945</v>
      </c>
      <c r="U295" s="69">
        <v>1945</v>
      </c>
      <c r="V295" s="69">
        <v>1732</v>
      </c>
      <c r="W295" s="54"/>
      <c r="X295" s="69">
        <v>-6398</v>
      </c>
      <c r="Y295" s="69">
        <v>-6271</v>
      </c>
      <c r="Z295" s="54"/>
      <c r="AA295" s="108">
        <v>7069</v>
      </c>
      <c r="AB295" s="54"/>
      <c r="AC295" s="108">
        <f>VLOOKUP(A295,'Change in Proportion Calc'!$A$5:$H$311,8,FALSE)+SUMIF($C$5:$AB$5,2026,C295:AB295)</f>
        <v>-28966</v>
      </c>
      <c r="AE295" s="107">
        <f t="shared" si="21"/>
        <v>25533</v>
      </c>
      <c r="AF295" s="107">
        <f t="shared" si="22"/>
        <v>126399</v>
      </c>
      <c r="AH295" s="107"/>
      <c r="AI295" s="108"/>
      <c r="AJ295" s="108"/>
      <c r="AK295" s="213">
        <f t="shared" si="20"/>
        <v>2100</v>
      </c>
      <c r="AL295" s="107">
        <f t="shared" si="23"/>
        <v>-35908</v>
      </c>
      <c r="AM295" s="107">
        <f t="shared" si="23"/>
        <v>-29850</v>
      </c>
      <c r="AN295" s="107">
        <f t="shared" si="23"/>
        <v>-28885</v>
      </c>
      <c r="AO295" s="107">
        <f t="shared" si="23"/>
        <v>-9751</v>
      </c>
      <c r="AP295" s="107">
        <f t="shared" si="23"/>
        <v>3528</v>
      </c>
    </row>
    <row r="296" spans="1:42">
      <c r="A296" s="51">
        <v>2130</v>
      </c>
      <c r="B296" s="55" t="s">
        <v>277</v>
      </c>
      <c r="C296" s="234">
        <f>_xlfn.XLOOKUP($A296,'Change in Proportion Calc'!$A$5:$A$311,'Change in Proportion Calc'!L$5:L$311,"n",0,1)</f>
        <v>-5872</v>
      </c>
      <c r="D296" s="234">
        <f>_xlfn.XLOOKUP($A296,'Change in Proportion Calc'!$A$5:$A$311,'Change in Proportion Calc'!M$5:M$311,"n",0,1)</f>
        <v>-5872</v>
      </c>
      <c r="E296" s="234">
        <f>_xlfn.XLOOKUP($A296,'Change in Proportion Calc'!$A$5:$A$311,'Change in Proportion Calc'!N$5:N$311,"n",0,1)</f>
        <v>-5872</v>
      </c>
      <c r="F296" s="234">
        <f>_xlfn.XLOOKUP($A296,'Change in Proportion Calc'!$A$5:$A$311,'Change in Proportion Calc'!O$5:O$311,"n",0,1)</f>
        <v>-5872</v>
      </c>
      <c r="G296" s="234">
        <f>_xlfn.XLOOKUP($A296,'Change in Proportion Calc'!$A$5:$A$311,'Change in Proportion Calc'!P$5:P$311,"n",0,1)</f>
        <v>-4522</v>
      </c>
      <c r="H296" s="54"/>
      <c r="I296" s="69">
        <v>4633</v>
      </c>
      <c r="J296" s="69">
        <v>4633</v>
      </c>
      <c r="K296" s="69">
        <v>4633</v>
      </c>
      <c r="L296" s="69">
        <v>4633</v>
      </c>
      <c r="M296" s="69">
        <v>4306</v>
      </c>
      <c r="N296" s="54"/>
      <c r="O296" s="69">
        <v>-14330</v>
      </c>
      <c r="P296" s="69">
        <v>-14330</v>
      </c>
      <c r="Q296" s="69">
        <v>-14330</v>
      </c>
      <c r="R296" s="69">
        <v>-12467</v>
      </c>
      <c r="S296" s="69"/>
      <c r="T296" s="69">
        <v>-5002</v>
      </c>
      <c r="U296" s="69">
        <v>-5002</v>
      </c>
      <c r="V296" s="69">
        <v>-4453</v>
      </c>
      <c r="W296" s="54"/>
      <c r="X296" s="69">
        <v>2592</v>
      </c>
      <c r="Y296" s="69">
        <v>2538</v>
      </c>
      <c r="Z296" s="54"/>
      <c r="AA296" s="108">
        <v>-6396</v>
      </c>
      <c r="AB296" s="54"/>
      <c r="AC296" s="108">
        <f>VLOOKUP(A296,'Change in Proportion Calc'!$A$5:$H$311,8,FALSE)+SUMIF($C$5:$AB$5,2026,C296:AB296)</f>
        <v>-24375</v>
      </c>
      <c r="AE296" s="107">
        <f t="shared" si="21"/>
        <v>20743</v>
      </c>
      <c r="AF296" s="107">
        <f t="shared" si="22"/>
        <v>78592</v>
      </c>
      <c r="AH296" s="107"/>
      <c r="AI296" s="108"/>
      <c r="AJ296" s="108"/>
      <c r="AK296" s="213">
        <f t="shared" si="20"/>
        <v>2130</v>
      </c>
      <c r="AL296" s="107">
        <f t="shared" si="23"/>
        <v>-18033</v>
      </c>
      <c r="AM296" s="107">
        <f t="shared" si="23"/>
        <v>-20022</v>
      </c>
      <c r="AN296" s="107">
        <f t="shared" si="23"/>
        <v>-13706</v>
      </c>
      <c r="AO296" s="107">
        <f t="shared" si="23"/>
        <v>-1566</v>
      </c>
      <c r="AP296" s="107">
        <f t="shared" si="23"/>
        <v>-4522</v>
      </c>
    </row>
    <row r="297" spans="1:42">
      <c r="A297" s="53">
        <v>32099</v>
      </c>
      <c r="B297" s="54" t="s">
        <v>278</v>
      </c>
      <c r="C297" s="234">
        <f>_xlfn.XLOOKUP($A297,'Change in Proportion Calc'!$A$5:$A$311,'Change in Proportion Calc'!L$5:L$311,"n",0,1)</f>
        <v>8882</v>
      </c>
      <c r="D297" s="234">
        <f>_xlfn.XLOOKUP($A297,'Change in Proportion Calc'!$A$5:$A$311,'Change in Proportion Calc'!M$5:M$311,"n",0,1)</f>
        <v>8882</v>
      </c>
      <c r="E297" s="234">
        <f>_xlfn.XLOOKUP($A297,'Change in Proportion Calc'!$A$5:$A$311,'Change in Proportion Calc'!N$5:N$311,"n",0,1)</f>
        <v>8882</v>
      </c>
      <c r="F297" s="234">
        <f>_xlfn.XLOOKUP($A297,'Change in Proportion Calc'!$A$5:$A$311,'Change in Proportion Calc'!O$5:O$311,"n",0,1)</f>
        <v>8882</v>
      </c>
      <c r="G297" s="234">
        <f>_xlfn.XLOOKUP($A297,'Change in Proportion Calc'!$A$5:$A$311,'Change in Proportion Calc'!P$5:P$311,"n",0,1)</f>
        <v>6838</v>
      </c>
      <c r="H297" s="54"/>
      <c r="I297" s="69">
        <v>-5185</v>
      </c>
      <c r="J297" s="69">
        <v>-5185</v>
      </c>
      <c r="K297" s="69">
        <v>-5185</v>
      </c>
      <c r="L297" s="69">
        <v>-5185</v>
      </c>
      <c r="M297" s="69">
        <v>-4825</v>
      </c>
      <c r="N297" s="54"/>
      <c r="O297" s="69">
        <v>-1084</v>
      </c>
      <c r="P297" s="69">
        <v>-1084</v>
      </c>
      <c r="Q297" s="69">
        <v>-1084</v>
      </c>
      <c r="R297" s="69">
        <v>-941</v>
      </c>
      <c r="S297" s="69"/>
      <c r="T297" s="69">
        <v>7481</v>
      </c>
      <c r="U297" s="69">
        <v>7481</v>
      </c>
      <c r="V297" s="69">
        <v>6656</v>
      </c>
      <c r="W297" s="54"/>
      <c r="X297" s="69">
        <v>1944</v>
      </c>
      <c r="Y297" s="69">
        <v>1904</v>
      </c>
      <c r="Z297" s="54"/>
      <c r="AA297" s="108">
        <v>-17419</v>
      </c>
      <c r="AB297" s="54"/>
      <c r="AC297" s="108">
        <f>VLOOKUP(A297,'Change in Proportion Calc'!$A$5:$H$311,8,FALSE)+SUMIF($C$5:$AB$5,2026,C297:AB297)</f>
        <v>-5381</v>
      </c>
      <c r="AE297" s="107">
        <f t="shared" si="21"/>
        <v>58407</v>
      </c>
      <c r="AF297" s="107">
        <f t="shared" si="22"/>
        <v>23489</v>
      </c>
      <c r="AH297" s="107"/>
      <c r="AI297" s="108"/>
      <c r="AJ297" s="108"/>
      <c r="AK297" s="213">
        <f t="shared" si="20"/>
        <v>32099</v>
      </c>
      <c r="AL297" s="107">
        <f t="shared" si="23"/>
        <v>11998</v>
      </c>
      <c r="AM297" s="107">
        <f t="shared" si="23"/>
        <v>9269</v>
      </c>
      <c r="AN297" s="107">
        <f t="shared" si="23"/>
        <v>2756</v>
      </c>
      <c r="AO297" s="107">
        <f t="shared" si="23"/>
        <v>4057</v>
      </c>
      <c r="AP297" s="107">
        <f t="shared" si="23"/>
        <v>6838</v>
      </c>
    </row>
    <row r="298" spans="1:42">
      <c r="A298" s="51">
        <v>32100</v>
      </c>
      <c r="B298" s="55" t="s">
        <v>279</v>
      </c>
      <c r="C298" s="234">
        <f>_xlfn.XLOOKUP($A298,'Change in Proportion Calc'!$A$5:$A$311,'Change in Proportion Calc'!L$5:L$311,"n",0,1)</f>
        <v>-1453</v>
      </c>
      <c r="D298" s="234">
        <f>_xlfn.XLOOKUP($A298,'Change in Proportion Calc'!$A$5:$A$311,'Change in Proportion Calc'!M$5:M$311,"n",0,1)</f>
        <v>-1453</v>
      </c>
      <c r="E298" s="234">
        <f>_xlfn.XLOOKUP($A298,'Change in Proportion Calc'!$A$5:$A$311,'Change in Proportion Calc'!N$5:N$311,"n",0,1)</f>
        <v>-1453</v>
      </c>
      <c r="F298" s="234">
        <f>_xlfn.XLOOKUP($A298,'Change in Proportion Calc'!$A$5:$A$311,'Change in Proportion Calc'!O$5:O$311,"n",0,1)</f>
        <v>-1453</v>
      </c>
      <c r="G298" s="234">
        <f>_xlfn.XLOOKUP($A298,'Change in Proportion Calc'!$A$5:$A$311,'Change in Proportion Calc'!P$5:P$311,"n",0,1)</f>
        <v>-1119</v>
      </c>
      <c r="H298" s="54"/>
      <c r="I298" s="69">
        <v>-12236</v>
      </c>
      <c r="J298" s="69">
        <v>-12236</v>
      </c>
      <c r="K298" s="69">
        <v>-12236</v>
      </c>
      <c r="L298" s="69">
        <v>-12236</v>
      </c>
      <c r="M298" s="69">
        <v>-11379</v>
      </c>
      <c r="N298" s="54"/>
      <c r="O298" s="69">
        <v>-13606</v>
      </c>
      <c r="P298" s="69">
        <v>-13606</v>
      </c>
      <c r="Q298" s="69">
        <v>-13606</v>
      </c>
      <c r="R298" s="69">
        <v>-11839</v>
      </c>
      <c r="S298" s="69"/>
      <c r="T298" s="69">
        <v>9084</v>
      </c>
      <c r="U298" s="69">
        <v>9084</v>
      </c>
      <c r="V298" s="69">
        <v>8084</v>
      </c>
      <c r="W298" s="54"/>
      <c r="X298" s="69">
        <v>10934</v>
      </c>
      <c r="Y298" s="69">
        <v>10713</v>
      </c>
      <c r="Z298" s="54"/>
      <c r="AA298" s="108">
        <v>-15822</v>
      </c>
      <c r="AB298" s="54"/>
      <c r="AC298" s="108">
        <f>VLOOKUP(A298,'Change in Proportion Calc'!$A$5:$H$311,8,FALSE)+SUMIF($C$5:$AB$5,2026,C298:AB298)</f>
        <v>-23099</v>
      </c>
      <c r="AE298" s="107">
        <f t="shared" si="21"/>
        <v>27881</v>
      </c>
      <c r="AF298" s="107">
        <f t="shared" si="22"/>
        <v>94069</v>
      </c>
      <c r="AH298" s="107"/>
      <c r="AI298" s="108"/>
      <c r="AJ298" s="108"/>
      <c r="AK298" s="213">
        <f t="shared" si="20"/>
        <v>32100</v>
      </c>
      <c r="AL298" s="107">
        <f t="shared" si="23"/>
        <v>-7498</v>
      </c>
      <c r="AM298" s="107">
        <f t="shared" si="23"/>
        <v>-19211</v>
      </c>
      <c r="AN298" s="107">
        <f t="shared" si="23"/>
        <v>-25528</v>
      </c>
      <c r="AO298" s="107">
        <f t="shared" si="23"/>
        <v>-12832</v>
      </c>
      <c r="AP298" s="107">
        <f t="shared" si="23"/>
        <v>-1119</v>
      </c>
    </row>
    <row r="299" spans="1:42">
      <c r="A299" s="53">
        <v>32101</v>
      </c>
      <c r="B299" s="54" t="s">
        <v>280</v>
      </c>
      <c r="C299" s="234">
        <f>_xlfn.XLOOKUP($A299,'Change in Proportion Calc'!$A$5:$A$311,'Change in Proportion Calc'!L$5:L$311,"n",0,1)</f>
        <v>-2597</v>
      </c>
      <c r="D299" s="234">
        <f>_xlfn.XLOOKUP($A299,'Change in Proportion Calc'!$A$5:$A$311,'Change in Proportion Calc'!M$5:M$311,"n",0,1)</f>
        <v>-2597</v>
      </c>
      <c r="E299" s="234">
        <f>_xlfn.XLOOKUP($A299,'Change in Proportion Calc'!$A$5:$A$311,'Change in Proportion Calc'!N$5:N$311,"n",0,1)</f>
        <v>-2597</v>
      </c>
      <c r="F299" s="234">
        <f>_xlfn.XLOOKUP($A299,'Change in Proportion Calc'!$A$5:$A$311,'Change in Proportion Calc'!O$5:O$311,"n",0,1)</f>
        <v>-2597</v>
      </c>
      <c r="G299" s="234">
        <f>_xlfn.XLOOKUP($A299,'Change in Proportion Calc'!$A$5:$A$311,'Change in Proportion Calc'!P$5:P$311,"n",0,1)</f>
        <v>-2002</v>
      </c>
      <c r="H299" s="54"/>
      <c r="I299" s="69">
        <v>-8601</v>
      </c>
      <c r="J299" s="69">
        <v>-8601</v>
      </c>
      <c r="K299" s="69">
        <v>-8601</v>
      </c>
      <c r="L299" s="69">
        <v>-8601</v>
      </c>
      <c r="M299" s="69">
        <v>-7999</v>
      </c>
      <c r="N299" s="54"/>
      <c r="O299" s="69">
        <v>10269</v>
      </c>
      <c r="P299" s="69">
        <v>10269</v>
      </c>
      <c r="Q299" s="69">
        <v>10269</v>
      </c>
      <c r="R299" s="69">
        <v>8932</v>
      </c>
      <c r="S299" s="69"/>
      <c r="T299" s="69">
        <v>39790</v>
      </c>
      <c r="U299" s="69">
        <v>39790</v>
      </c>
      <c r="V299" s="69">
        <v>35411</v>
      </c>
      <c r="W299" s="54"/>
      <c r="X299" s="69">
        <v>-45354</v>
      </c>
      <c r="Y299" s="69">
        <v>-44447</v>
      </c>
      <c r="Z299" s="54"/>
      <c r="AA299" s="108">
        <v>-422</v>
      </c>
      <c r="AB299" s="54"/>
      <c r="AC299" s="108">
        <f>VLOOKUP(A299,'Change in Proportion Calc'!$A$5:$H$311,8,FALSE)+SUMIF($C$5:$AB$5,2026,C299:AB299)</f>
        <v>-6915</v>
      </c>
      <c r="AE299" s="107">
        <f t="shared" si="21"/>
        <v>104671</v>
      </c>
      <c r="AF299" s="107">
        <f t="shared" si="22"/>
        <v>90639</v>
      </c>
      <c r="AH299" s="107"/>
      <c r="AI299" s="108"/>
      <c r="AJ299" s="108"/>
      <c r="AK299" s="213">
        <f t="shared" si="20"/>
        <v>32101</v>
      </c>
      <c r="AL299" s="107">
        <f t="shared" si="23"/>
        <v>-5586</v>
      </c>
      <c r="AM299" s="107">
        <f t="shared" si="23"/>
        <v>34482</v>
      </c>
      <c r="AN299" s="107">
        <f t="shared" si="23"/>
        <v>-2266</v>
      </c>
      <c r="AO299" s="107">
        <f t="shared" si="23"/>
        <v>-10596</v>
      </c>
      <c r="AP299" s="107">
        <f t="shared" si="23"/>
        <v>-2002</v>
      </c>
    </row>
    <row r="300" spans="1:42">
      <c r="A300" s="51">
        <v>32102</v>
      </c>
      <c r="B300" s="55" t="s">
        <v>281</v>
      </c>
      <c r="C300" s="234">
        <f>_xlfn.XLOOKUP($A300,'Change in Proportion Calc'!$A$5:$A$311,'Change in Proportion Calc'!L$5:L$311,"n",0,1)</f>
        <v>4089</v>
      </c>
      <c r="D300" s="234">
        <f>_xlfn.XLOOKUP($A300,'Change in Proportion Calc'!$A$5:$A$311,'Change in Proportion Calc'!M$5:M$311,"n",0,1)</f>
        <v>4089</v>
      </c>
      <c r="E300" s="234">
        <f>_xlfn.XLOOKUP($A300,'Change in Proportion Calc'!$A$5:$A$311,'Change in Proportion Calc'!N$5:N$311,"n",0,1)</f>
        <v>4089</v>
      </c>
      <c r="F300" s="234">
        <f>_xlfn.XLOOKUP($A300,'Change in Proportion Calc'!$A$5:$A$311,'Change in Proportion Calc'!O$5:O$311,"n",0,1)</f>
        <v>4089</v>
      </c>
      <c r="G300" s="234">
        <f>_xlfn.XLOOKUP($A300,'Change in Proportion Calc'!$A$5:$A$311,'Change in Proportion Calc'!P$5:P$311,"n",0,1)</f>
        <v>3149</v>
      </c>
      <c r="H300" s="54"/>
      <c r="I300" s="69">
        <v>-2731</v>
      </c>
      <c r="J300" s="69">
        <v>-2731</v>
      </c>
      <c r="K300" s="69">
        <v>-2731</v>
      </c>
      <c r="L300" s="69">
        <v>-2731</v>
      </c>
      <c r="M300" s="69">
        <v>-2537</v>
      </c>
      <c r="N300" s="54"/>
      <c r="O300" s="69">
        <v>-6913</v>
      </c>
      <c r="P300" s="69">
        <v>-6913</v>
      </c>
      <c r="Q300" s="69">
        <v>-6913</v>
      </c>
      <c r="R300" s="69">
        <v>-6015</v>
      </c>
      <c r="S300" s="69"/>
      <c r="T300" s="69">
        <v>-4464</v>
      </c>
      <c r="U300" s="69">
        <v>-4464</v>
      </c>
      <c r="V300" s="69">
        <v>-3973</v>
      </c>
      <c r="W300" s="54"/>
      <c r="X300" s="69">
        <v>3888</v>
      </c>
      <c r="Y300" s="69">
        <v>3808</v>
      </c>
      <c r="Z300" s="54"/>
      <c r="AA300" s="108">
        <v>-3281</v>
      </c>
      <c r="AB300" s="54"/>
      <c r="AC300" s="108">
        <f>VLOOKUP(A300,'Change in Proportion Calc'!$A$5:$H$311,8,FALSE)+SUMIF($C$5:$AB$5,2026,C300:AB300)</f>
        <v>-9412</v>
      </c>
      <c r="AE300" s="107">
        <f t="shared" si="21"/>
        <v>23313</v>
      </c>
      <c r="AF300" s="107">
        <f t="shared" si="22"/>
        <v>39008</v>
      </c>
      <c r="AH300" s="107"/>
      <c r="AI300" s="108"/>
      <c r="AJ300" s="108"/>
      <c r="AK300" s="213">
        <f t="shared" si="20"/>
        <v>32102</v>
      </c>
      <c r="AL300" s="107">
        <f t="shared" si="23"/>
        <v>-6211</v>
      </c>
      <c r="AM300" s="107">
        <f t="shared" si="23"/>
        <v>-9528</v>
      </c>
      <c r="AN300" s="107">
        <f t="shared" si="23"/>
        <v>-4657</v>
      </c>
      <c r="AO300" s="107">
        <f t="shared" si="23"/>
        <v>1552</v>
      </c>
      <c r="AP300" s="107">
        <f t="shared" si="23"/>
        <v>3149</v>
      </c>
    </row>
    <row r="301" spans="1:42">
      <c r="A301" s="53">
        <v>2880</v>
      </c>
      <c r="B301" s="54" t="s">
        <v>282</v>
      </c>
      <c r="C301" s="234">
        <f>_xlfn.XLOOKUP($A301,'Change in Proportion Calc'!$A$5:$A$311,'Change in Proportion Calc'!L$5:L$311,"n",0,1)</f>
        <v>-3438</v>
      </c>
      <c r="D301" s="234">
        <f>_xlfn.XLOOKUP($A301,'Change in Proportion Calc'!$A$5:$A$311,'Change in Proportion Calc'!M$5:M$311,"n",0,1)</f>
        <v>-3438</v>
      </c>
      <c r="E301" s="234">
        <f>_xlfn.XLOOKUP($A301,'Change in Proportion Calc'!$A$5:$A$311,'Change in Proportion Calc'!N$5:N$311,"n",0,1)</f>
        <v>-3438</v>
      </c>
      <c r="F301" s="234">
        <f>_xlfn.XLOOKUP($A301,'Change in Proportion Calc'!$A$5:$A$311,'Change in Proportion Calc'!O$5:O$311,"n",0,1)</f>
        <v>-3438</v>
      </c>
      <c r="G301" s="234">
        <f>_xlfn.XLOOKUP($A301,'Change in Proportion Calc'!$A$5:$A$311,'Change in Proportion Calc'!P$5:P$311,"n",0,1)</f>
        <v>-2647</v>
      </c>
      <c r="H301" s="54"/>
      <c r="I301" s="69">
        <v>193</v>
      </c>
      <c r="J301" s="69">
        <v>193</v>
      </c>
      <c r="K301" s="69">
        <v>193</v>
      </c>
      <c r="L301" s="69">
        <v>193</v>
      </c>
      <c r="M301" s="69">
        <v>182</v>
      </c>
      <c r="N301" s="54"/>
      <c r="O301" s="69">
        <v>-240</v>
      </c>
      <c r="P301" s="69">
        <v>-240</v>
      </c>
      <c r="Q301" s="69">
        <v>-240</v>
      </c>
      <c r="R301" s="69">
        <v>-210</v>
      </c>
      <c r="S301" s="69"/>
      <c r="T301" s="69">
        <v>-4847</v>
      </c>
      <c r="U301" s="69">
        <v>-4847</v>
      </c>
      <c r="V301" s="69">
        <v>-4316</v>
      </c>
      <c r="W301" s="54"/>
      <c r="X301" s="69">
        <v>5426</v>
      </c>
      <c r="Y301" s="69">
        <v>5319</v>
      </c>
      <c r="Z301" s="54"/>
      <c r="AA301" s="108">
        <v>-167</v>
      </c>
      <c r="AB301" s="54"/>
      <c r="AC301" s="108">
        <f>VLOOKUP(A301,'Change in Proportion Calc'!$A$5:$H$311,8,FALSE)+SUMIF($C$5:$AB$5,2026,C301:AB301)</f>
        <v>-3073</v>
      </c>
      <c r="AE301" s="107">
        <f t="shared" si="21"/>
        <v>6080</v>
      </c>
      <c r="AF301" s="107">
        <f t="shared" si="22"/>
        <v>26252</v>
      </c>
      <c r="AH301" s="107"/>
      <c r="AI301" s="108"/>
      <c r="AJ301" s="108"/>
      <c r="AK301" s="213">
        <f t="shared" si="20"/>
        <v>2880</v>
      </c>
      <c r="AL301" s="107">
        <f t="shared" si="23"/>
        <v>-3013</v>
      </c>
      <c r="AM301" s="107">
        <f t="shared" si="23"/>
        <v>-7801</v>
      </c>
      <c r="AN301" s="107">
        <f t="shared" si="23"/>
        <v>-3455</v>
      </c>
      <c r="AO301" s="107">
        <f t="shared" si="23"/>
        <v>-3256</v>
      </c>
      <c r="AP301" s="107">
        <f t="shared" si="23"/>
        <v>-2647</v>
      </c>
    </row>
    <row r="302" spans="1:42">
      <c r="A302" s="51">
        <v>2490</v>
      </c>
      <c r="B302" s="55" t="s">
        <v>283</v>
      </c>
      <c r="C302" s="234">
        <f>_xlfn.XLOOKUP($A302,'Change in Proportion Calc'!$A$5:$A$311,'Change in Proportion Calc'!L$5:L$311,"n",0,1)</f>
        <v>10899</v>
      </c>
      <c r="D302" s="234">
        <f>_xlfn.XLOOKUP($A302,'Change in Proportion Calc'!$A$5:$A$311,'Change in Proportion Calc'!M$5:M$311,"n",0,1)</f>
        <v>10899</v>
      </c>
      <c r="E302" s="234">
        <f>_xlfn.XLOOKUP($A302,'Change in Proportion Calc'!$A$5:$A$311,'Change in Proportion Calc'!N$5:N$311,"n",0,1)</f>
        <v>10899</v>
      </c>
      <c r="F302" s="234">
        <f>_xlfn.XLOOKUP($A302,'Change in Proportion Calc'!$A$5:$A$311,'Change in Proportion Calc'!O$5:O$311,"n",0,1)</f>
        <v>10899</v>
      </c>
      <c r="G302" s="234">
        <f>_xlfn.XLOOKUP($A302,'Change in Proportion Calc'!$A$5:$A$311,'Change in Proportion Calc'!P$5:P$311,"n",0,1)</f>
        <v>8391</v>
      </c>
      <c r="H302" s="54"/>
      <c r="I302" s="69">
        <v>2497</v>
      </c>
      <c r="J302" s="69">
        <v>2497</v>
      </c>
      <c r="K302" s="69">
        <v>2497</v>
      </c>
      <c r="L302" s="69">
        <v>2497</v>
      </c>
      <c r="M302" s="69">
        <v>2322</v>
      </c>
      <c r="N302" s="54"/>
      <c r="O302" s="69">
        <v>14990</v>
      </c>
      <c r="P302" s="69">
        <v>14990</v>
      </c>
      <c r="Q302" s="69">
        <v>14990</v>
      </c>
      <c r="R302" s="69">
        <v>13042</v>
      </c>
      <c r="S302" s="69"/>
      <c r="T302" s="69">
        <v>-12318</v>
      </c>
      <c r="U302" s="69">
        <v>-12318</v>
      </c>
      <c r="V302" s="69">
        <v>-10961</v>
      </c>
      <c r="W302" s="54"/>
      <c r="X302" s="69">
        <v>2754</v>
      </c>
      <c r="Y302" s="69">
        <v>2697</v>
      </c>
      <c r="Z302" s="54"/>
      <c r="AA302" s="108">
        <v>-38291</v>
      </c>
      <c r="AB302" s="54"/>
      <c r="AC302" s="108">
        <f>VLOOKUP(A302,'Change in Proportion Calc'!$A$5:$H$311,8,FALSE)+SUMIF($C$5:$AB$5,2026,C302:AB302)</f>
        <v>-19469</v>
      </c>
      <c r="AE302" s="107">
        <f t="shared" si="21"/>
        <v>107519</v>
      </c>
      <c r="AF302" s="107">
        <f t="shared" si="22"/>
        <v>23279</v>
      </c>
      <c r="AH302" s="107"/>
      <c r="AI302" s="108"/>
      <c r="AJ302" s="108"/>
      <c r="AK302" s="213">
        <f t="shared" si="20"/>
        <v>2490</v>
      </c>
      <c r="AL302" s="107">
        <f t="shared" si="23"/>
        <v>18765</v>
      </c>
      <c r="AM302" s="107">
        <f t="shared" si="23"/>
        <v>17425</v>
      </c>
      <c r="AN302" s="107">
        <f t="shared" si="23"/>
        <v>26438</v>
      </c>
      <c r="AO302" s="107">
        <f t="shared" si="23"/>
        <v>13221</v>
      </c>
      <c r="AP302" s="107">
        <f t="shared" si="23"/>
        <v>8391</v>
      </c>
    </row>
    <row r="303" spans="1:42">
      <c r="A303" s="53">
        <v>2530</v>
      </c>
      <c r="B303" s="54" t="s">
        <v>284</v>
      </c>
      <c r="C303" s="234">
        <f>_xlfn.XLOOKUP($A303,'Change in Proportion Calc'!$A$5:$A$311,'Change in Proportion Calc'!L$5:L$311,"n",0,1)</f>
        <v>5939</v>
      </c>
      <c r="D303" s="234">
        <f>_xlfn.XLOOKUP($A303,'Change in Proportion Calc'!$A$5:$A$311,'Change in Proportion Calc'!M$5:M$311,"n",0,1)</f>
        <v>5939</v>
      </c>
      <c r="E303" s="234">
        <f>_xlfn.XLOOKUP($A303,'Change in Proportion Calc'!$A$5:$A$311,'Change in Proportion Calc'!N$5:N$311,"n",0,1)</f>
        <v>5939</v>
      </c>
      <c r="F303" s="234">
        <f>_xlfn.XLOOKUP($A303,'Change in Proportion Calc'!$A$5:$A$311,'Change in Proportion Calc'!O$5:O$311,"n",0,1)</f>
        <v>5939</v>
      </c>
      <c r="G303" s="234">
        <f>_xlfn.XLOOKUP($A303,'Change in Proportion Calc'!$A$5:$A$311,'Change in Proportion Calc'!P$5:P$311,"n",0,1)</f>
        <v>4572</v>
      </c>
      <c r="H303" s="54"/>
      <c r="I303" s="69">
        <v>2036</v>
      </c>
      <c r="J303" s="69">
        <v>2036</v>
      </c>
      <c r="K303" s="69">
        <v>2036</v>
      </c>
      <c r="L303" s="69">
        <v>2036</v>
      </c>
      <c r="M303" s="69">
        <v>1891</v>
      </c>
      <c r="N303" s="54"/>
      <c r="O303" s="69">
        <v>-4437</v>
      </c>
      <c r="P303" s="69">
        <v>-4437</v>
      </c>
      <c r="Q303" s="69">
        <v>-4437</v>
      </c>
      <c r="R303" s="69">
        <v>-3859</v>
      </c>
      <c r="S303" s="69"/>
      <c r="T303" s="69">
        <v>20889</v>
      </c>
      <c r="U303" s="69">
        <v>20889</v>
      </c>
      <c r="V303" s="69">
        <v>18589</v>
      </c>
      <c r="W303" s="54"/>
      <c r="X303" s="69">
        <v>-33125</v>
      </c>
      <c r="Y303" s="69">
        <v>-32461</v>
      </c>
      <c r="Z303" s="54"/>
      <c r="AA303" s="108">
        <v>-6646</v>
      </c>
      <c r="AB303" s="54"/>
      <c r="AC303" s="108">
        <f>VLOOKUP(A303,'Change in Proportion Calc'!$A$5:$H$311,8,FALSE)+SUMIF($C$5:$AB$5,2026,C303:AB303)</f>
        <v>-15344</v>
      </c>
      <c r="AE303" s="107">
        <f t="shared" si="21"/>
        <v>75805</v>
      </c>
      <c r="AF303" s="107">
        <f t="shared" si="22"/>
        <v>45194</v>
      </c>
      <c r="AH303" s="107"/>
      <c r="AI303" s="108"/>
      <c r="AJ303" s="108"/>
      <c r="AK303" s="213">
        <f t="shared" si="20"/>
        <v>2530</v>
      </c>
      <c r="AL303" s="107">
        <f t="shared" si="23"/>
        <v>-8034</v>
      </c>
      <c r="AM303" s="107">
        <f t="shared" si="23"/>
        <v>22127</v>
      </c>
      <c r="AN303" s="107">
        <f t="shared" si="23"/>
        <v>4116</v>
      </c>
      <c r="AO303" s="107">
        <f t="shared" si="23"/>
        <v>7830</v>
      </c>
      <c r="AP303" s="107">
        <f t="shared" si="23"/>
        <v>4572</v>
      </c>
    </row>
    <row r="304" spans="1:42">
      <c r="A304" s="51">
        <v>2560</v>
      </c>
      <c r="B304" s="55" t="s">
        <v>285</v>
      </c>
      <c r="C304" s="234">
        <f>_xlfn.XLOOKUP($A304,'Change in Proportion Calc'!$A$5:$A$311,'Change in Proportion Calc'!L$5:L$311,"n",0,1)</f>
        <v>760</v>
      </c>
      <c r="D304" s="234">
        <f>_xlfn.XLOOKUP($A304,'Change in Proportion Calc'!$A$5:$A$311,'Change in Proportion Calc'!M$5:M$311,"n",0,1)</f>
        <v>760</v>
      </c>
      <c r="E304" s="234">
        <f>_xlfn.XLOOKUP($A304,'Change in Proportion Calc'!$A$5:$A$311,'Change in Proportion Calc'!N$5:N$311,"n",0,1)</f>
        <v>760</v>
      </c>
      <c r="F304" s="234">
        <f>_xlfn.XLOOKUP($A304,'Change in Proportion Calc'!$A$5:$A$311,'Change in Proportion Calc'!O$5:O$311,"n",0,1)</f>
        <v>760</v>
      </c>
      <c r="G304" s="234">
        <f>_xlfn.XLOOKUP($A304,'Change in Proportion Calc'!$A$5:$A$311,'Change in Proportion Calc'!P$5:P$311,"n",0,1)</f>
        <v>583</v>
      </c>
      <c r="H304" s="54"/>
      <c r="I304" s="69">
        <v>20081</v>
      </c>
      <c r="J304" s="69">
        <v>20081</v>
      </c>
      <c r="K304" s="69">
        <v>20081</v>
      </c>
      <c r="L304" s="69">
        <v>20081</v>
      </c>
      <c r="M304" s="69">
        <v>18676</v>
      </c>
      <c r="N304" s="54"/>
      <c r="O304" s="69">
        <v>17006</v>
      </c>
      <c r="P304" s="69">
        <v>17006</v>
      </c>
      <c r="Q304" s="69">
        <v>17006</v>
      </c>
      <c r="R304" s="69">
        <v>14793</v>
      </c>
      <c r="S304" s="69"/>
      <c r="T304" s="69">
        <v>1487</v>
      </c>
      <c r="U304" s="69">
        <v>1487</v>
      </c>
      <c r="V304" s="69">
        <v>1321</v>
      </c>
      <c r="W304" s="54"/>
      <c r="X304" s="69">
        <v>-17899</v>
      </c>
      <c r="Y304" s="69">
        <v>-17539</v>
      </c>
      <c r="Z304" s="54"/>
      <c r="AA304" s="108">
        <v>-7491</v>
      </c>
      <c r="AB304" s="54"/>
      <c r="AC304" s="108">
        <f>VLOOKUP(A304,'Change in Proportion Calc'!$A$5:$H$311,8,FALSE)+SUMIF($C$5:$AB$5,2026,C304:AB304)</f>
        <v>13944</v>
      </c>
      <c r="AE304" s="107">
        <f t="shared" si="21"/>
        <v>134155</v>
      </c>
      <c r="AF304" s="107">
        <f t="shared" si="22"/>
        <v>17539</v>
      </c>
      <c r="AH304" s="107"/>
      <c r="AI304" s="108"/>
      <c r="AJ304" s="108"/>
      <c r="AK304" s="213">
        <f t="shared" si="20"/>
        <v>2560</v>
      </c>
      <c r="AL304" s="107">
        <f t="shared" si="23"/>
        <v>21795</v>
      </c>
      <c r="AM304" s="107">
        <f t="shared" si="23"/>
        <v>39168</v>
      </c>
      <c r="AN304" s="107">
        <f t="shared" si="23"/>
        <v>35634</v>
      </c>
      <c r="AO304" s="107">
        <f t="shared" si="23"/>
        <v>19436</v>
      </c>
      <c r="AP304" s="107">
        <f t="shared" si="23"/>
        <v>583</v>
      </c>
    </row>
    <row r="305" spans="1:42">
      <c r="A305" s="53">
        <v>2610</v>
      </c>
      <c r="B305" s="54" t="s">
        <v>286</v>
      </c>
      <c r="C305" s="234">
        <f>_xlfn.XLOOKUP($A305,'Change in Proportion Calc'!$A$5:$A$311,'Change in Proportion Calc'!L$5:L$311,"n",0,1)</f>
        <v>393</v>
      </c>
      <c r="D305" s="234">
        <f>_xlfn.XLOOKUP($A305,'Change in Proportion Calc'!$A$5:$A$311,'Change in Proportion Calc'!M$5:M$311,"n",0,1)</f>
        <v>393</v>
      </c>
      <c r="E305" s="234">
        <f>_xlfn.XLOOKUP($A305,'Change in Proportion Calc'!$A$5:$A$311,'Change in Proportion Calc'!N$5:N$311,"n",0,1)</f>
        <v>393</v>
      </c>
      <c r="F305" s="234">
        <f>_xlfn.XLOOKUP($A305,'Change in Proportion Calc'!$A$5:$A$311,'Change in Proportion Calc'!O$5:O$311,"n",0,1)</f>
        <v>393</v>
      </c>
      <c r="G305" s="234">
        <f>_xlfn.XLOOKUP($A305,'Change in Proportion Calc'!$A$5:$A$311,'Change in Proportion Calc'!P$5:P$311,"n",0,1)</f>
        <v>305</v>
      </c>
      <c r="H305" s="54"/>
      <c r="I305" s="69">
        <v>-704</v>
      </c>
      <c r="J305" s="69">
        <v>-704</v>
      </c>
      <c r="K305" s="69">
        <v>-704</v>
      </c>
      <c r="L305" s="69">
        <v>-704</v>
      </c>
      <c r="M305" s="69">
        <v>-654</v>
      </c>
      <c r="N305" s="54"/>
      <c r="O305" s="69">
        <v>1816</v>
      </c>
      <c r="P305" s="69">
        <v>1816</v>
      </c>
      <c r="Q305" s="69">
        <v>1816</v>
      </c>
      <c r="R305" s="69">
        <v>1580</v>
      </c>
      <c r="S305" s="69"/>
      <c r="T305" s="69">
        <v>-3832</v>
      </c>
      <c r="U305" s="69">
        <v>-3832</v>
      </c>
      <c r="V305" s="69">
        <v>-3410</v>
      </c>
      <c r="W305" s="54"/>
      <c r="X305" s="69">
        <v>810</v>
      </c>
      <c r="Y305" s="69">
        <v>793</v>
      </c>
      <c r="Z305" s="54"/>
      <c r="AA305" s="108">
        <v>-3452</v>
      </c>
      <c r="AB305" s="54"/>
      <c r="AC305" s="108">
        <f>VLOOKUP(A305,'Change in Proportion Calc'!$A$5:$H$311,8,FALSE)+SUMIF($C$5:$AB$5,2026,C305:AB305)</f>
        <v>-4969</v>
      </c>
      <c r="AE305" s="107">
        <f t="shared" si="21"/>
        <v>7882</v>
      </c>
      <c r="AF305" s="107">
        <f t="shared" si="22"/>
        <v>10008</v>
      </c>
      <c r="AH305" s="107"/>
      <c r="AI305" s="108"/>
      <c r="AJ305" s="108"/>
      <c r="AK305" s="213">
        <f t="shared" si="20"/>
        <v>2610</v>
      </c>
      <c r="AL305" s="107">
        <f t="shared" si="23"/>
        <v>-1534</v>
      </c>
      <c r="AM305" s="107">
        <f t="shared" si="23"/>
        <v>-1905</v>
      </c>
      <c r="AN305" s="107">
        <f t="shared" si="23"/>
        <v>1269</v>
      </c>
      <c r="AO305" s="107">
        <f t="shared" si="23"/>
        <v>-261</v>
      </c>
      <c r="AP305" s="107">
        <f t="shared" si="23"/>
        <v>305</v>
      </c>
    </row>
    <row r="306" spans="1:42">
      <c r="A306" s="51">
        <v>2800</v>
      </c>
      <c r="B306" s="55" t="s">
        <v>287</v>
      </c>
      <c r="C306" s="234">
        <f>_xlfn.XLOOKUP($A306,'Change in Proportion Calc'!$A$5:$A$311,'Change in Proportion Calc'!L$5:L$311,"n",0,1)</f>
        <v>-3456</v>
      </c>
      <c r="D306" s="234">
        <f>_xlfn.XLOOKUP($A306,'Change in Proportion Calc'!$A$5:$A$311,'Change in Proportion Calc'!M$5:M$311,"n",0,1)</f>
        <v>-3456</v>
      </c>
      <c r="E306" s="234">
        <f>_xlfn.XLOOKUP($A306,'Change in Proportion Calc'!$A$5:$A$311,'Change in Proportion Calc'!N$5:N$311,"n",0,1)</f>
        <v>-3456</v>
      </c>
      <c r="F306" s="234">
        <f>_xlfn.XLOOKUP($A306,'Change in Proportion Calc'!$A$5:$A$311,'Change in Proportion Calc'!O$5:O$311,"n",0,1)</f>
        <v>-3456</v>
      </c>
      <c r="G306" s="234">
        <f>_xlfn.XLOOKUP($A306,'Change in Proportion Calc'!$A$5:$A$311,'Change in Proportion Calc'!P$5:P$311,"n",0,1)</f>
        <v>-2664</v>
      </c>
      <c r="H306" s="54"/>
      <c r="I306" s="69">
        <v>-4827</v>
      </c>
      <c r="J306" s="69">
        <v>-4827</v>
      </c>
      <c r="K306" s="69">
        <v>-4827</v>
      </c>
      <c r="L306" s="69">
        <v>-4827</v>
      </c>
      <c r="M306" s="69">
        <v>-4490</v>
      </c>
      <c r="N306" s="54"/>
      <c r="O306" s="69">
        <v>6752</v>
      </c>
      <c r="P306" s="69">
        <v>6752</v>
      </c>
      <c r="Q306" s="69">
        <v>6752</v>
      </c>
      <c r="R306" s="69">
        <v>5873</v>
      </c>
      <c r="S306" s="69"/>
      <c r="T306" s="69">
        <v>2707</v>
      </c>
      <c r="U306" s="69">
        <v>2707</v>
      </c>
      <c r="V306" s="69">
        <v>2411</v>
      </c>
      <c r="W306" s="54"/>
      <c r="X306" s="69">
        <v>3240</v>
      </c>
      <c r="Y306" s="69">
        <v>3173</v>
      </c>
      <c r="Z306" s="54"/>
      <c r="AA306" s="108">
        <v>14894</v>
      </c>
      <c r="AB306" s="54"/>
      <c r="AC306" s="108">
        <f>VLOOKUP(A306,'Change in Proportion Calc'!$A$5:$H$311,8,FALSE)+SUMIF($C$5:$AB$5,2026,C306:AB306)</f>
        <v>19310</v>
      </c>
      <c r="AE306" s="107">
        <f t="shared" si="21"/>
        <v>27668</v>
      </c>
      <c r="AF306" s="107">
        <f t="shared" si="22"/>
        <v>35459</v>
      </c>
      <c r="AH306" s="107"/>
      <c r="AI306" s="108"/>
      <c r="AJ306" s="108"/>
      <c r="AK306" s="213">
        <f t="shared" si="20"/>
        <v>2800</v>
      </c>
      <c r="AL306" s="107">
        <f t="shared" si="23"/>
        <v>4349</v>
      </c>
      <c r="AM306" s="107">
        <f t="shared" si="23"/>
        <v>880</v>
      </c>
      <c r="AN306" s="107">
        <f t="shared" si="23"/>
        <v>-2410</v>
      </c>
      <c r="AO306" s="107">
        <f t="shared" si="23"/>
        <v>-7946</v>
      </c>
      <c r="AP306" s="107">
        <f t="shared" si="23"/>
        <v>-2664</v>
      </c>
    </row>
    <row r="307" spans="1:42">
      <c r="A307" s="53">
        <v>20317</v>
      </c>
      <c r="B307" s="54" t="s">
        <v>288</v>
      </c>
      <c r="C307" s="234">
        <f>_xlfn.XLOOKUP($A307,'Change in Proportion Calc'!$A$5:$A$311,'Change in Proportion Calc'!L$5:L$311,"n",0,1)</f>
        <v>-2367</v>
      </c>
      <c r="D307" s="234">
        <f>_xlfn.XLOOKUP($A307,'Change in Proportion Calc'!$A$5:$A$311,'Change in Proportion Calc'!M$5:M$311,"n",0,1)</f>
        <v>-2367</v>
      </c>
      <c r="E307" s="234">
        <f>_xlfn.XLOOKUP($A307,'Change in Proportion Calc'!$A$5:$A$311,'Change in Proportion Calc'!N$5:N$311,"n",0,1)</f>
        <v>-2367</v>
      </c>
      <c r="F307" s="234">
        <f>_xlfn.XLOOKUP($A307,'Change in Proportion Calc'!$A$5:$A$311,'Change in Proportion Calc'!O$5:O$311,"n",0,1)</f>
        <v>-2367</v>
      </c>
      <c r="G307" s="234">
        <f>_xlfn.XLOOKUP($A307,'Change in Proportion Calc'!$A$5:$A$311,'Change in Proportion Calc'!P$5:P$311,"n",0,1)</f>
        <v>-1824</v>
      </c>
      <c r="H307" s="54"/>
      <c r="I307" s="69">
        <v>-19984</v>
      </c>
      <c r="J307" s="69">
        <v>-19984</v>
      </c>
      <c r="K307" s="69">
        <v>-19984</v>
      </c>
      <c r="L307" s="69">
        <v>-19984</v>
      </c>
      <c r="M307" s="69">
        <v>-18587</v>
      </c>
      <c r="N307" s="54"/>
      <c r="O307" s="69">
        <v>4880</v>
      </c>
      <c r="P307" s="69">
        <v>4880</v>
      </c>
      <c r="Q307" s="69">
        <v>4880</v>
      </c>
      <c r="R307" s="69">
        <v>4248</v>
      </c>
      <c r="S307" s="69"/>
      <c r="T307" s="69">
        <v>28652</v>
      </c>
      <c r="U307" s="69">
        <v>28652</v>
      </c>
      <c r="V307" s="69">
        <v>25498</v>
      </c>
      <c r="W307" s="54"/>
      <c r="X307" s="69">
        <v>-30047</v>
      </c>
      <c r="Y307" s="69">
        <v>-29447</v>
      </c>
      <c r="Z307" s="54"/>
      <c r="AA307" s="108">
        <v>24823</v>
      </c>
      <c r="AB307" s="54"/>
      <c r="AC307" s="108">
        <f>VLOOKUP(A307,'Change in Proportion Calc'!$A$5:$H$311,8,FALSE)+SUMIF($C$5:$AB$5,2026,C307:AB307)</f>
        <v>5957</v>
      </c>
      <c r="AE307" s="107">
        <f t="shared" si="21"/>
        <v>68158</v>
      </c>
      <c r="AF307" s="107">
        <f t="shared" si="22"/>
        <v>119278</v>
      </c>
      <c r="AH307" s="107"/>
      <c r="AI307" s="108"/>
      <c r="AJ307" s="108"/>
      <c r="AK307" s="213">
        <f t="shared" si="20"/>
        <v>20317</v>
      </c>
      <c r="AL307" s="107">
        <f t="shared" si="23"/>
        <v>-18266</v>
      </c>
      <c r="AM307" s="107">
        <f t="shared" si="23"/>
        <v>8027</v>
      </c>
      <c r="AN307" s="107">
        <f t="shared" si="23"/>
        <v>-18103</v>
      </c>
      <c r="AO307" s="107">
        <f t="shared" si="23"/>
        <v>-20954</v>
      </c>
      <c r="AP307" s="107">
        <f t="shared" si="23"/>
        <v>-1824</v>
      </c>
    </row>
    <row r="308" spans="1:42">
      <c r="A308" s="51">
        <v>30090</v>
      </c>
      <c r="B308" s="55" t="s">
        <v>289</v>
      </c>
      <c r="C308" s="234">
        <f>_xlfn.XLOOKUP($A308,'Change in Proportion Calc'!$A$5:$A$311,'Change in Proportion Calc'!L$5:L$311,"n",0,1)</f>
        <v>-23987</v>
      </c>
      <c r="D308" s="234">
        <f>_xlfn.XLOOKUP($A308,'Change in Proportion Calc'!$A$5:$A$311,'Change in Proportion Calc'!M$5:M$311,"n",0,1)</f>
        <v>-23987</v>
      </c>
      <c r="E308" s="234">
        <f>_xlfn.XLOOKUP($A308,'Change in Proportion Calc'!$A$5:$A$311,'Change in Proportion Calc'!N$5:N$311,"n",0,1)</f>
        <v>-23987</v>
      </c>
      <c r="F308" s="234">
        <f>_xlfn.XLOOKUP($A308,'Change in Proportion Calc'!$A$5:$A$311,'Change in Proportion Calc'!O$5:O$311,"n",0,1)</f>
        <v>-23987</v>
      </c>
      <c r="G308" s="234">
        <f>_xlfn.XLOOKUP($A308,'Change in Proportion Calc'!$A$5:$A$311,'Change in Proportion Calc'!P$5:P$311,"n",0,1)</f>
        <v>-18469</v>
      </c>
      <c r="H308" s="54"/>
      <c r="I308" s="69">
        <v>-8841</v>
      </c>
      <c r="J308" s="69">
        <v>-8841</v>
      </c>
      <c r="K308" s="69">
        <v>-8841</v>
      </c>
      <c r="L308" s="69">
        <v>-8841</v>
      </c>
      <c r="M308" s="69">
        <v>-8222</v>
      </c>
      <c r="N308" s="54"/>
      <c r="O308" s="69">
        <v>15639</v>
      </c>
      <c r="P308" s="69">
        <v>15639</v>
      </c>
      <c r="Q308" s="69">
        <v>15639</v>
      </c>
      <c r="R308" s="69">
        <v>13606</v>
      </c>
      <c r="S308" s="69"/>
      <c r="T308" s="69">
        <v>-36998</v>
      </c>
      <c r="U308" s="69">
        <v>-36998</v>
      </c>
      <c r="V308" s="69">
        <v>-32927</v>
      </c>
      <c r="W308" s="54"/>
      <c r="X308" s="69">
        <v>31100</v>
      </c>
      <c r="Y308" s="69">
        <v>30478</v>
      </c>
      <c r="Z308" s="54"/>
      <c r="AA308" s="108">
        <v>16495</v>
      </c>
      <c r="AB308" s="54"/>
      <c r="AC308" s="108">
        <f>VLOOKUP(A308,'Change in Proportion Calc'!$A$5:$H$311,8,FALSE)+SUMIF($C$5:$AB$5,2026,C308:AB308)</f>
        <v>-6592</v>
      </c>
      <c r="AE308" s="107">
        <f t="shared" si="21"/>
        <v>75362</v>
      </c>
      <c r="AF308" s="107">
        <f t="shared" si="22"/>
        <v>219087</v>
      </c>
      <c r="AH308" s="107"/>
      <c r="AI308" s="108"/>
      <c r="AJ308" s="108"/>
      <c r="AK308" s="213">
        <f t="shared" si="20"/>
        <v>30090</v>
      </c>
      <c r="AL308" s="107">
        <f t="shared" si="23"/>
        <v>-23709</v>
      </c>
      <c r="AM308" s="107">
        <f t="shared" si="23"/>
        <v>-50116</v>
      </c>
      <c r="AN308" s="107">
        <f t="shared" si="23"/>
        <v>-19222</v>
      </c>
      <c r="AO308" s="107">
        <f t="shared" si="23"/>
        <v>-32209</v>
      </c>
      <c r="AP308" s="107">
        <f t="shared" si="23"/>
        <v>-18469</v>
      </c>
    </row>
    <row r="309" spans="1:42">
      <c r="A309" s="53">
        <v>29330</v>
      </c>
      <c r="B309" s="54" t="s">
        <v>290</v>
      </c>
      <c r="C309" s="234">
        <f>_xlfn.XLOOKUP($A309,'Change in Proportion Calc'!$A$5:$A$311,'Change in Proportion Calc'!L$5:L$311,"n",0,1)</f>
        <v>-1536</v>
      </c>
      <c r="D309" s="234">
        <f>_xlfn.XLOOKUP($A309,'Change in Proportion Calc'!$A$5:$A$311,'Change in Proportion Calc'!M$5:M$311,"n",0,1)</f>
        <v>-1536</v>
      </c>
      <c r="E309" s="234">
        <f>_xlfn.XLOOKUP($A309,'Change in Proportion Calc'!$A$5:$A$311,'Change in Proportion Calc'!N$5:N$311,"n",0,1)</f>
        <v>-1536</v>
      </c>
      <c r="F309" s="234">
        <f>_xlfn.XLOOKUP($A309,'Change in Proportion Calc'!$A$5:$A$311,'Change in Proportion Calc'!O$5:O$311,"n",0,1)</f>
        <v>-1536</v>
      </c>
      <c r="G309" s="234">
        <f>_xlfn.XLOOKUP($A309,'Change in Proportion Calc'!$A$5:$A$311,'Change in Proportion Calc'!P$5:P$311,"n",0,1)</f>
        <v>-1184</v>
      </c>
      <c r="H309" s="54"/>
      <c r="I309" s="69">
        <v>2737</v>
      </c>
      <c r="J309" s="69">
        <v>2737</v>
      </c>
      <c r="K309" s="69">
        <v>2737</v>
      </c>
      <c r="L309" s="69">
        <v>2737</v>
      </c>
      <c r="M309" s="69">
        <v>2545</v>
      </c>
      <c r="N309" s="54"/>
      <c r="O309" s="69">
        <v>12034</v>
      </c>
      <c r="P309" s="69">
        <v>12034</v>
      </c>
      <c r="Q309" s="69">
        <v>12034</v>
      </c>
      <c r="R309" s="69">
        <v>10469</v>
      </c>
      <c r="S309" s="69"/>
      <c r="T309" s="69">
        <v>1578</v>
      </c>
      <c r="U309" s="69">
        <v>1578</v>
      </c>
      <c r="V309" s="69">
        <v>1404</v>
      </c>
      <c r="W309" s="54"/>
      <c r="X309" s="69">
        <v>-9800</v>
      </c>
      <c r="Y309" s="69">
        <v>-9602</v>
      </c>
      <c r="Z309" s="54"/>
      <c r="AA309" s="108">
        <v>-1597</v>
      </c>
      <c r="AB309" s="54"/>
      <c r="AC309" s="108">
        <f>VLOOKUP(A309,'Change in Proportion Calc'!$A$5:$H$311,8,FALSE)+SUMIF($C$5:$AB$5,2026,C309:AB309)</f>
        <v>3416</v>
      </c>
      <c r="AE309" s="107">
        <f t="shared" si="21"/>
        <v>48275</v>
      </c>
      <c r="AF309" s="107">
        <f t="shared" si="22"/>
        <v>16930</v>
      </c>
      <c r="AH309" s="107"/>
      <c r="AI309" s="108"/>
      <c r="AJ309" s="108"/>
      <c r="AK309" s="213">
        <f t="shared" si="20"/>
        <v>29330</v>
      </c>
      <c r="AL309" s="107">
        <f t="shared" si="23"/>
        <v>5211</v>
      </c>
      <c r="AM309" s="107">
        <f t="shared" si="23"/>
        <v>14639</v>
      </c>
      <c r="AN309" s="107">
        <f t="shared" si="23"/>
        <v>11670</v>
      </c>
      <c r="AO309" s="107">
        <f t="shared" si="23"/>
        <v>1009</v>
      </c>
      <c r="AP309" s="107">
        <f t="shared" si="23"/>
        <v>-1184</v>
      </c>
    </row>
    <row r="310" spans="1:42">
      <c r="A310" s="51">
        <v>12038</v>
      </c>
      <c r="B310" s="55" t="s">
        <v>291</v>
      </c>
      <c r="C310" s="234">
        <f>_xlfn.XLOOKUP($A310,'Change in Proportion Calc'!$A$5:$A$311,'Change in Proportion Calc'!L$5:L$311,"n",0,1)</f>
        <v>-68902</v>
      </c>
      <c r="D310" s="234">
        <f>_xlfn.XLOOKUP($A310,'Change in Proportion Calc'!$A$5:$A$311,'Change in Proportion Calc'!M$5:M$311,"n",0,1)</f>
        <v>-68902</v>
      </c>
      <c r="E310" s="234">
        <f>_xlfn.XLOOKUP($A310,'Change in Proportion Calc'!$A$5:$A$311,'Change in Proportion Calc'!N$5:N$311,"n",0,1)</f>
        <v>-68902</v>
      </c>
      <c r="F310" s="234">
        <f>_xlfn.XLOOKUP($A310,'Change in Proportion Calc'!$A$5:$A$311,'Change in Proportion Calc'!O$5:O$311,"n",0,1)</f>
        <v>-68902</v>
      </c>
      <c r="G310" s="234">
        <f>_xlfn.XLOOKUP($A310,'Change in Proportion Calc'!$A$5:$A$311,'Change in Proportion Calc'!P$5:P$311,"n",0,1)</f>
        <v>-53055</v>
      </c>
      <c r="H310" s="54"/>
      <c r="I310" s="69">
        <v>-69066</v>
      </c>
      <c r="J310" s="69">
        <v>-69066</v>
      </c>
      <c r="K310" s="69">
        <v>-69066</v>
      </c>
      <c r="L310" s="69">
        <v>-69066</v>
      </c>
      <c r="M310" s="69">
        <v>-64232</v>
      </c>
      <c r="N310" s="54"/>
      <c r="O310" s="69">
        <v>-9198</v>
      </c>
      <c r="P310" s="69">
        <v>-9198</v>
      </c>
      <c r="Q310" s="69">
        <v>-9198</v>
      </c>
      <c r="R310" s="69">
        <v>-8001</v>
      </c>
      <c r="S310" s="69"/>
      <c r="T310" s="69">
        <v>13036</v>
      </c>
      <c r="U310" s="69">
        <v>13036</v>
      </c>
      <c r="V310" s="69">
        <v>11601</v>
      </c>
      <c r="W310" s="54"/>
      <c r="X310" s="69">
        <v>130150</v>
      </c>
      <c r="Y310" s="69">
        <v>127547</v>
      </c>
      <c r="Z310" s="54"/>
      <c r="AA310" s="108">
        <v>95598</v>
      </c>
      <c r="AB310" s="54"/>
      <c r="AC310" s="108">
        <f>VLOOKUP(A310,'Change in Proportion Calc'!$A$5:$H$311,8,FALSE)+SUMIF($C$5:$AB$5,2026,C310:AB310)</f>
        <v>91618</v>
      </c>
      <c r="AE310" s="107">
        <f t="shared" si="21"/>
        <v>152184</v>
      </c>
      <c r="AF310" s="107">
        <f t="shared" si="22"/>
        <v>626490</v>
      </c>
      <c r="AH310" s="107"/>
      <c r="AI310" s="108"/>
      <c r="AJ310" s="108"/>
      <c r="AK310" s="213">
        <f t="shared" si="20"/>
        <v>12038</v>
      </c>
      <c r="AL310" s="107">
        <f t="shared" si="23"/>
        <v>-6583</v>
      </c>
      <c r="AM310" s="107">
        <f t="shared" si="23"/>
        <v>-135565</v>
      </c>
      <c r="AN310" s="107">
        <f t="shared" si="23"/>
        <v>-145969</v>
      </c>
      <c r="AO310" s="107">
        <f t="shared" si="23"/>
        <v>-133134</v>
      </c>
      <c r="AP310" s="107">
        <f t="shared" si="23"/>
        <v>-53055</v>
      </c>
    </row>
    <row r="311" spans="1:42">
      <c r="A311" s="53">
        <v>8099</v>
      </c>
      <c r="B311" s="54" t="s">
        <v>292</v>
      </c>
      <c r="C311" s="234">
        <f>_xlfn.XLOOKUP($A311,'Change in Proportion Calc'!$A$5:$A$311,'Change in Proportion Calc'!L$5:L$311,"n",0,1)</f>
        <v>21696</v>
      </c>
      <c r="D311" s="234">
        <f>_xlfn.XLOOKUP($A311,'Change in Proportion Calc'!$A$5:$A$311,'Change in Proportion Calc'!M$5:M$311,"n",0,1)</f>
        <v>21696</v>
      </c>
      <c r="E311" s="234">
        <f>_xlfn.XLOOKUP($A311,'Change in Proportion Calc'!$A$5:$A$311,'Change in Proportion Calc'!N$5:N$311,"n",0,1)</f>
        <v>21696</v>
      </c>
      <c r="F311" s="234">
        <f>_xlfn.XLOOKUP($A311,'Change in Proportion Calc'!$A$5:$A$311,'Change in Proportion Calc'!O$5:O$311,"n",0,1)</f>
        <v>21696</v>
      </c>
      <c r="G311" s="234">
        <f>_xlfn.XLOOKUP($A311,'Change in Proportion Calc'!$A$5:$A$311,'Change in Proportion Calc'!P$5:P$311,"n",0,1)</f>
        <v>16707</v>
      </c>
      <c r="H311" s="54"/>
      <c r="I311" s="69">
        <v>-6464</v>
      </c>
      <c r="J311" s="69">
        <v>-6464</v>
      </c>
      <c r="K311" s="69">
        <v>-6464</v>
      </c>
      <c r="L311" s="69">
        <v>-6464</v>
      </c>
      <c r="M311" s="69">
        <v>-6012</v>
      </c>
      <c r="N311" s="54"/>
      <c r="O311" s="69">
        <v>58100</v>
      </c>
      <c r="P311" s="69">
        <v>58100</v>
      </c>
      <c r="Q311" s="69">
        <v>58100</v>
      </c>
      <c r="R311" s="69">
        <v>50545</v>
      </c>
      <c r="S311" s="69"/>
      <c r="T311" s="69">
        <v>169469</v>
      </c>
      <c r="U311" s="69">
        <v>169469</v>
      </c>
      <c r="V311" s="69">
        <v>150828</v>
      </c>
      <c r="W311" s="54"/>
      <c r="X311" s="69">
        <v>47460</v>
      </c>
      <c r="Y311" s="69">
        <v>46510</v>
      </c>
      <c r="Z311" s="54"/>
      <c r="AA311" s="108">
        <v>-143733</v>
      </c>
      <c r="AB311" s="54"/>
      <c r="AC311" s="108">
        <f>VLOOKUP(A311,'Change in Proportion Calc'!$A$5:$H$311,8,FALSE)+SUMIF($C$5:$AB$5,2026,C311:AB311)</f>
        <v>146528</v>
      </c>
      <c r="AE311" s="107">
        <f t="shared" si="21"/>
        <v>637043</v>
      </c>
      <c r="AF311" s="107">
        <f t="shared" si="22"/>
        <v>25404</v>
      </c>
      <c r="AH311" s="107"/>
      <c r="AI311" s="108"/>
      <c r="AJ311" s="108"/>
      <c r="AK311" s="213">
        <f t="shared" si="20"/>
        <v>8099</v>
      </c>
      <c r="AL311" s="107">
        <f t="shared" si="23"/>
        <v>289311</v>
      </c>
      <c r="AM311" s="107">
        <f t="shared" si="23"/>
        <v>224160</v>
      </c>
      <c r="AN311" s="107">
        <f t="shared" si="23"/>
        <v>65777</v>
      </c>
      <c r="AO311" s="107">
        <f t="shared" si="23"/>
        <v>15684</v>
      </c>
      <c r="AP311" s="107">
        <f t="shared" si="23"/>
        <v>16707</v>
      </c>
    </row>
    <row r="312" spans="1:42">
      <c r="A312" s="53">
        <v>2442</v>
      </c>
      <c r="B312" s="54" t="s">
        <v>415</v>
      </c>
      <c r="C312" s="234">
        <f>_xlfn.XLOOKUP($A312,'Change in Proportion Calc'!$A$5:$A$311,'Change in Proportion Calc'!L$5:L$311,"n",0,1)</f>
        <v>18363</v>
      </c>
      <c r="D312" s="234">
        <f>_xlfn.XLOOKUP($A312,'Change in Proportion Calc'!$A$5:$A$311,'Change in Proportion Calc'!M$5:M$311,"n",0,1)</f>
        <v>18363</v>
      </c>
      <c r="E312" s="234">
        <f>_xlfn.XLOOKUP($A312,'Change in Proportion Calc'!$A$5:$A$311,'Change in Proportion Calc'!N$5:N$311,"n",0,1)</f>
        <v>18363</v>
      </c>
      <c r="F312" s="234">
        <f>_xlfn.XLOOKUP($A312,'Change in Proportion Calc'!$A$5:$A$311,'Change in Proportion Calc'!O$5:O$311,"n",0,1)</f>
        <v>18363</v>
      </c>
      <c r="G312" s="234">
        <f>_xlfn.XLOOKUP($A312,'Change in Proportion Calc'!$A$5:$A$311,'Change in Proportion Calc'!P$5:P$311,"n",0,1)</f>
        <v>14139</v>
      </c>
      <c r="H312" s="54"/>
      <c r="I312" s="69">
        <v>28945</v>
      </c>
      <c r="J312" s="69">
        <v>28945</v>
      </c>
      <c r="K312" s="69">
        <v>28945</v>
      </c>
      <c r="L312" s="69">
        <v>28945</v>
      </c>
      <c r="M312" s="69">
        <v>26920</v>
      </c>
      <c r="N312" s="54"/>
      <c r="O312" s="69">
        <v>21094</v>
      </c>
      <c r="P312" s="69">
        <v>21094</v>
      </c>
      <c r="Q312" s="69">
        <v>21094</v>
      </c>
      <c r="R312" s="69">
        <v>18353</v>
      </c>
      <c r="S312" s="69"/>
      <c r="T312" s="69">
        <v>30871</v>
      </c>
      <c r="U312" s="69">
        <v>30871</v>
      </c>
      <c r="V312" s="69">
        <v>27474</v>
      </c>
      <c r="W312" s="54"/>
      <c r="X312" s="69">
        <v>13525</v>
      </c>
      <c r="Y312" s="69">
        <v>13256</v>
      </c>
      <c r="Z312" s="54"/>
      <c r="AA312" s="107">
        <v>0</v>
      </c>
      <c r="AB312" s="54"/>
      <c r="AC312" s="108">
        <f>VLOOKUP(A312,'Change in Proportion Calc'!$A$5:$H$311,8,FALSE)+SUMIF($C$5:$AB$5,2026,C312:AB312)</f>
        <v>112798</v>
      </c>
      <c r="AE312" s="107">
        <f t="shared" si="21"/>
        <v>333488</v>
      </c>
      <c r="AF312" s="107">
        <f t="shared" si="22"/>
        <v>0</v>
      </c>
      <c r="AH312" s="107"/>
      <c r="AI312" s="108"/>
      <c r="AJ312" s="108"/>
      <c r="AK312" s="213">
        <f t="shared" si="20"/>
        <v>2442</v>
      </c>
      <c r="AL312" s="107">
        <f t="shared" si="23"/>
        <v>112529</v>
      </c>
      <c r="AM312" s="107">
        <f t="shared" si="23"/>
        <v>95876</v>
      </c>
      <c r="AN312" s="107">
        <f t="shared" si="23"/>
        <v>65661</v>
      </c>
      <c r="AO312" s="107">
        <f t="shared" si="23"/>
        <v>45283</v>
      </c>
      <c r="AP312" s="107">
        <f t="shared" si="23"/>
        <v>14139</v>
      </c>
    </row>
    <row r="313" spans="1:42">
      <c r="A313" s="53">
        <v>13142</v>
      </c>
      <c r="B313" s="54" t="s">
        <v>294</v>
      </c>
      <c r="C313" s="234">
        <f>_xlfn.XLOOKUP($A313,'Change in Proportion Calc'!$A$5:$A$311,'Change in Proportion Calc'!L$5:L$311,"n",0,1)</f>
        <v>-62324</v>
      </c>
      <c r="D313" s="234">
        <f>_xlfn.XLOOKUP($A313,'Change in Proportion Calc'!$A$5:$A$311,'Change in Proportion Calc'!M$5:M$311,"n",0,1)</f>
        <v>-62324</v>
      </c>
      <c r="E313" s="234">
        <f>_xlfn.XLOOKUP($A313,'Change in Proportion Calc'!$A$5:$A$311,'Change in Proportion Calc'!N$5:N$311,"n",0,1)</f>
        <v>-62324</v>
      </c>
      <c r="F313" s="234">
        <f>_xlfn.XLOOKUP($A313,'Change in Proportion Calc'!$A$5:$A$311,'Change in Proportion Calc'!O$5:O$311,"n",0,1)</f>
        <v>-62324</v>
      </c>
      <c r="G313" s="234">
        <f>_xlfn.XLOOKUP($A313,'Change in Proportion Calc'!$A$5:$A$311,'Change in Proportion Calc'!P$5:P$311,"n",0,1)</f>
        <v>-47991</v>
      </c>
      <c r="H313" s="54"/>
      <c r="I313" s="69">
        <v>-8076</v>
      </c>
      <c r="J313" s="69">
        <v>-8076</v>
      </c>
      <c r="K313" s="69">
        <v>-8076</v>
      </c>
      <c r="L313" s="69">
        <v>-8076</v>
      </c>
      <c r="M313" s="69">
        <v>-7508</v>
      </c>
      <c r="N313" s="54"/>
      <c r="O313" s="69">
        <v>-13189</v>
      </c>
      <c r="P313" s="69">
        <v>-13189</v>
      </c>
      <c r="Q313" s="69">
        <v>-13189</v>
      </c>
      <c r="R313" s="69">
        <v>-11476</v>
      </c>
      <c r="S313" s="69"/>
      <c r="T313" s="69">
        <v>213340</v>
      </c>
      <c r="U313" s="69">
        <v>213340</v>
      </c>
      <c r="V313" s="69">
        <v>189873</v>
      </c>
      <c r="W313" s="54"/>
      <c r="X313" s="69">
        <v>-52886</v>
      </c>
      <c r="Y313" s="69">
        <v>-51829</v>
      </c>
      <c r="Z313" s="54"/>
      <c r="AA313" s="108">
        <v>25917</v>
      </c>
      <c r="AB313" s="54"/>
      <c r="AC313" s="108">
        <f>VLOOKUP(A313,'Change in Proportion Calc'!$A$5:$H$311,8,FALSE)+SUMIF($C$5:$AB$5,2026,C313:AB313)</f>
        <v>102782</v>
      </c>
      <c r="AE313" s="107">
        <f t="shared" si="21"/>
        <v>403213</v>
      </c>
      <c r="AF313" s="107">
        <f t="shared" si="22"/>
        <v>418706</v>
      </c>
      <c r="AH313" s="107"/>
      <c r="AI313" s="108"/>
      <c r="AJ313" s="108"/>
      <c r="AK313" s="213">
        <f t="shared" si="20"/>
        <v>13142</v>
      </c>
      <c r="AL313" s="107">
        <f t="shared" si="23"/>
        <v>77922</v>
      </c>
      <c r="AM313" s="107">
        <f t="shared" si="23"/>
        <v>106284</v>
      </c>
      <c r="AN313" s="107">
        <f t="shared" si="23"/>
        <v>-81876</v>
      </c>
      <c r="AO313" s="107">
        <f t="shared" si="23"/>
        <v>-69832</v>
      </c>
      <c r="AP313" s="107">
        <f t="shared" si="23"/>
        <v>-47991</v>
      </c>
    </row>
    <row r="314" spans="1:42">
      <c r="A314" s="53"/>
      <c r="B314" s="54"/>
      <c r="C314" s="54"/>
      <c r="D314" s="54"/>
      <c r="E314" s="54"/>
      <c r="F314" s="54"/>
      <c r="G314" s="54"/>
      <c r="H314" s="54"/>
      <c r="I314" s="69"/>
      <c r="J314" s="69"/>
      <c r="K314" s="69"/>
      <c r="L314" s="69"/>
      <c r="M314" s="69"/>
      <c r="N314" s="54"/>
      <c r="O314" s="69"/>
      <c r="P314" s="69"/>
      <c r="Q314" s="69"/>
      <c r="R314" s="69"/>
      <c r="S314" s="69"/>
      <c r="T314" s="69"/>
      <c r="U314" s="69"/>
      <c r="V314" s="69"/>
      <c r="W314" s="54"/>
      <c r="X314" s="69"/>
      <c r="Y314" s="69"/>
      <c r="Z314" s="54"/>
      <c r="AA314" s="108"/>
      <c r="AB314" s="54"/>
      <c r="AC314" s="108"/>
      <c r="AE314" s="107"/>
      <c r="AF314" s="107"/>
      <c r="AH314" s="107"/>
      <c r="AI314" s="108"/>
      <c r="AJ314" s="108"/>
      <c r="AK314" s="213"/>
      <c r="AL314" s="107"/>
      <c r="AM314" s="107"/>
      <c r="AN314" s="107"/>
      <c r="AO314" s="107"/>
      <c r="AP314" s="107"/>
    </row>
    <row r="315" spans="1:42">
      <c r="A315" s="51">
        <v>2417</v>
      </c>
      <c r="B315" s="55" t="s">
        <v>293</v>
      </c>
      <c r="C315" s="234">
        <f>_xlfn.XLOOKUP($A315,'Change in Proportion Calc'!$A$5:$A$311,'Change in Proportion Calc'!L$5:L$311,"n",0,1)</f>
        <v>-38988</v>
      </c>
      <c r="D315" s="234">
        <f>_xlfn.XLOOKUP($A315,'Change in Proportion Calc'!$A$5:$A$311,'Change in Proportion Calc'!M$5:M$311,"n",0,1)</f>
        <v>-38988</v>
      </c>
      <c r="E315" s="234">
        <f>_xlfn.XLOOKUP($A315,'Change in Proportion Calc'!$A$5:$A$311,'Change in Proportion Calc'!N$5:N$311,"n",0,1)</f>
        <v>-38988</v>
      </c>
      <c r="F315" s="234">
        <f>_xlfn.XLOOKUP($A315,'Change in Proportion Calc'!$A$5:$A$311,'Change in Proportion Calc'!O$5:O$311,"n",0,1)</f>
        <v>-38988</v>
      </c>
      <c r="G315" s="234">
        <f>_xlfn.XLOOKUP($A315,'Change in Proportion Calc'!$A$5:$A$311,'Change in Proportion Calc'!P$5:P$311,"n",0,1)</f>
        <v>-30003</v>
      </c>
      <c r="H315" s="54"/>
      <c r="I315" s="69">
        <v>-901</v>
      </c>
      <c r="J315" s="69">
        <v>-901</v>
      </c>
      <c r="K315" s="69">
        <v>-901</v>
      </c>
      <c r="L315" s="69">
        <v>-901</v>
      </c>
      <c r="M315" s="69">
        <v>-835</v>
      </c>
      <c r="N315" s="54"/>
      <c r="O315" s="69">
        <v>-2326</v>
      </c>
      <c r="P315" s="69">
        <v>-2326</v>
      </c>
      <c r="Q315" s="69">
        <v>-2326</v>
      </c>
      <c r="R315" s="69">
        <v>-2022</v>
      </c>
      <c r="S315" s="69"/>
      <c r="T315" s="69">
        <v>2701</v>
      </c>
      <c r="U315" s="69">
        <v>2701</v>
      </c>
      <c r="V315" s="69">
        <v>2405</v>
      </c>
      <c r="W315" s="54"/>
      <c r="X315" s="69">
        <v>5507</v>
      </c>
      <c r="Y315" s="69">
        <v>5399</v>
      </c>
      <c r="Z315" s="54"/>
      <c r="AA315" s="108">
        <v>-2019</v>
      </c>
      <c r="AB315" s="54"/>
      <c r="AC315" s="108">
        <f>VLOOKUP(A315,'Change in Proportion Calc'!$A$5:$H$311,8,FALSE)+SUMIF($I$5:$AB$5,2026,I315:AB315)</f>
        <v>-36026</v>
      </c>
      <c r="AE315" s="107">
        <f t="shared" ref="AE315:AE318" si="24">IF(SUM(C315:G315)&gt;0,SUM(C315:G315))+IF(SUM(J315:M315)&gt;0,SUM(J315:M315),0)+IF(SUM(U315:V315)&gt;0,SUM(U315:V315),0)+IF(SUM(Y315)&gt;0,SUM(Y315),0)+IF(SUM(P315:R315)&gt;0,SUM(P315:R315),0)</f>
        <v>10505</v>
      </c>
      <c r="AF315" s="107">
        <f t="shared" ref="AF315:AF318" si="25">+IF(SUM(C315:G315)&lt;0,-SUM(C315:G315),0)+IF(SUM(J315:M315)&lt;0,-SUM(J315:M315),0)+IF(SUM(U315:V315)&lt;0,-SUM(U315:V315),0)+IF(SUM(Y315)&lt;0,-SUM(Y315),0)+IF(SUM(P315:R315)&lt;0,-SUM(P315:R315),0)</f>
        <v>196167</v>
      </c>
      <c r="AH315" s="107"/>
      <c r="AI315" s="108"/>
      <c r="AJ315" s="108"/>
      <c r="AK315" s="213">
        <f>+A315</f>
        <v>2417</v>
      </c>
      <c r="AL315" s="107">
        <f t="shared" ref="AL315:AP318" si="26">+SUMIF($C$5:$AB$5,AL$5,$C315:$AB315)</f>
        <v>-34115</v>
      </c>
      <c r="AM315" s="107">
        <f t="shared" si="26"/>
        <v>-39810</v>
      </c>
      <c r="AN315" s="107">
        <f t="shared" si="26"/>
        <v>-41911</v>
      </c>
      <c r="AO315" s="107">
        <f t="shared" si="26"/>
        <v>-39823</v>
      </c>
      <c r="AP315" s="107">
        <f t="shared" si="26"/>
        <v>-30003</v>
      </c>
    </row>
    <row r="316" spans="1:42">
      <c r="A316" s="51">
        <v>17425</v>
      </c>
      <c r="B316" s="55" t="s">
        <v>128</v>
      </c>
      <c r="C316" s="54"/>
      <c r="D316" s="54"/>
      <c r="E316" s="54"/>
      <c r="F316" s="54"/>
      <c r="G316" s="54"/>
      <c r="H316" s="54"/>
      <c r="I316" s="69">
        <v>-64411</v>
      </c>
      <c r="J316" s="69">
        <v>-64411</v>
      </c>
      <c r="K316" s="69">
        <v>-64411</v>
      </c>
      <c r="L316" s="69">
        <v>-64411</v>
      </c>
      <c r="M316" s="69">
        <v>-59933</v>
      </c>
      <c r="N316" s="54"/>
      <c r="O316" s="69">
        <v>18891</v>
      </c>
      <c r="P316" s="69">
        <v>18891</v>
      </c>
      <c r="Q316" s="69">
        <v>18891</v>
      </c>
      <c r="R316" s="69">
        <v>16437</v>
      </c>
      <c r="S316" s="69"/>
      <c r="T316" s="69">
        <v>24015</v>
      </c>
      <c r="U316" s="69">
        <v>24015</v>
      </c>
      <c r="V316" s="69">
        <v>21371</v>
      </c>
      <c r="W316" s="54"/>
      <c r="X316" s="69">
        <v>-29804</v>
      </c>
      <c r="Y316" s="69">
        <v>-29209</v>
      </c>
      <c r="Z316" s="54"/>
      <c r="AA316" s="108">
        <v>-8498</v>
      </c>
      <c r="AB316" s="54"/>
      <c r="AC316" s="108">
        <f>+SUMIF($I$5:$AB$5,2026,I316:AB316)</f>
        <v>-59807</v>
      </c>
      <c r="AE316" s="107">
        <f t="shared" si="24"/>
        <v>99605</v>
      </c>
      <c r="AF316" s="107">
        <f t="shared" si="25"/>
        <v>282375</v>
      </c>
      <c r="AH316" s="107"/>
      <c r="AI316" s="108"/>
      <c r="AJ316" s="108"/>
      <c r="AK316" s="213">
        <f>+A316</f>
        <v>17425</v>
      </c>
      <c r="AL316" s="107">
        <f t="shared" si="26"/>
        <v>-50714</v>
      </c>
      <c r="AM316" s="107">
        <f t="shared" si="26"/>
        <v>-24149</v>
      </c>
      <c r="AN316" s="107">
        <f t="shared" si="26"/>
        <v>-47974</v>
      </c>
      <c r="AO316" s="107">
        <f t="shared" si="26"/>
        <v>-59933</v>
      </c>
      <c r="AP316" s="107">
        <f t="shared" si="26"/>
        <v>0</v>
      </c>
    </row>
    <row r="317" spans="1:42">
      <c r="A317" s="51">
        <v>4170</v>
      </c>
      <c r="B317" s="55" t="s">
        <v>195</v>
      </c>
      <c r="C317" s="54"/>
      <c r="D317" s="54"/>
      <c r="E317" s="54"/>
      <c r="F317" s="54"/>
      <c r="G317" s="54"/>
      <c r="H317" s="54"/>
      <c r="I317" s="69">
        <v>0</v>
      </c>
      <c r="J317" s="69">
        <v>0</v>
      </c>
      <c r="K317" s="69">
        <v>0</v>
      </c>
      <c r="L317" s="69">
        <v>0</v>
      </c>
      <c r="M317" s="69">
        <v>0</v>
      </c>
      <c r="N317" s="54"/>
      <c r="O317" s="69">
        <v>0</v>
      </c>
      <c r="P317" s="69">
        <v>0</v>
      </c>
      <c r="Q317" s="69">
        <v>0</v>
      </c>
      <c r="R317" s="69">
        <v>0</v>
      </c>
      <c r="S317" s="69"/>
      <c r="T317" s="69">
        <v>-16107</v>
      </c>
      <c r="U317" s="69">
        <v>-16107</v>
      </c>
      <c r="V317" s="69">
        <v>-14335</v>
      </c>
      <c r="W317" s="54"/>
      <c r="X317" s="69">
        <v>-43734</v>
      </c>
      <c r="Y317" s="69">
        <v>-42861</v>
      </c>
      <c r="Z317" s="54"/>
      <c r="AA317" s="108">
        <v>0</v>
      </c>
      <c r="AB317" s="54"/>
      <c r="AC317" s="108">
        <f>+SUMIF($I$5:$AB$5,2026,I317:AB317)</f>
        <v>-59841</v>
      </c>
      <c r="AE317" s="107">
        <f t="shared" si="24"/>
        <v>0</v>
      </c>
      <c r="AF317" s="107">
        <f t="shared" si="25"/>
        <v>73303</v>
      </c>
      <c r="AH317" s="107"/>
      <c r="AI317" s="108"/>
      <c r="AJ317" s="108"/>
      <c r="AK317" s="213">
        <f>+A317</f>
        <v>4170</v>
      </c>
      <c r="AL317" s="107">
        <f t="shared" si="26"/>
        <v>-58968</v>
      </c>
      <c r="AM317" s="107">
        <f t="shared" si="26"/>
        <v>-14335</v>
      </c>
      <c r="AN317" s="107">
        <f t="shared" si="26"/>
        <v>0</v>
      </c>
      <c r="AO317" s="107">
        <f t="shared" si="26"/>
        <v>0</v>
      </c>
      <c r="AP317" s="107">
        <f t="shared" si="26"/>
        <v>0</v>
      </c>
    </row>
    <row r="318" spans="1:42">
      <c r="A318" s="53">
        <v>17334</v>
      </c>
      <c r="B318" s="54" t="s">
        <v>416</v>
      </c>
      <c r="C318" s="54"/>
      <c r="D318" s="54"/>
      <c r="E318" s="54"/>
      <c r="F318" s="54"/>
      <c r="G318" s="54"/>
      <c r="H318" s="54"/>
      <c r="I318" s="69">
        <v>0</v>
      </c>
      <c r="J318" s="69">
        <v>0</v>
      </c>
      <c r="K318" s="69">
        <v>0</v>
      </c>
      <c r="L318" s="69">
        <v>0</v>
      </c>
      <c r="M318" s="69">
        <v>0</v>
      </c>
      <c r="N318" s="54"/>
      <c r="O318" s="69">
        <v>0</v>
      </c>
      <c r="P318" s="69">
        <v>0</v>
      </c>
      <c r="Q318" s="69">
        <v>0</v>
      </c>
      <c r="R318" s="69">
        <v>0</v>
      </c>
      <c r="S318" s="69"/>
      <c r="T318" s="69">
        <v>0</v>
      </c>
      <c r="U318" s="69">
        <v>0</v>
      </c>
      <c r="V318" s="69">
        <v>0</v>
      </c>
      <c r="W318" s="54"/>
      <c r="X318" s="69">
        <v>-16846</v>
      </c>
      <c r="Y318" s="69">
        <v>-16508</v>
      </c>
      <c r="Z318" s="54"/>
      <c r="AA318" s="108">
        <v>-11529</v>
      </c>
      <c r="AB318" s="54"/>
      <c r="AC318" s="108">
        <f>+SUMIF($I$5:$AB$5,2026,I318:AB318)</f>
        <v>-28375</v>
      </c>
      <c r="AE318" s="107">
        <f t="shared" si="24"/>
        <v>0</v>
      </c>
      <c r="AF318" s="107">
        <f t="shared" si="25"/>
        <v>16508</v>
      </c>
      <c r="AH318" s="107"/>
      <c r="AI318" s="108"/>
      <c r="AJ318" s="108"/>
      <c r="AK318" s="213">
        <f>+A318</f>
        <v>17334</v>
      </c>
      <c r="AL318" s="107">
        <f t="shared" si="26"/>
        <v>-16508</v>
      </c>
      <c r="AM318" s="107">
        <f t="shared" si="26"/>
        <v>0</v>
      </c>
      <c r="AN318" s="107">
        <f t="shared" si="26"/>
        <v>0</v>
      </c>
      <c r="AO318" s="107">
        <f t="shared" si="26"/>
        <v>0</v>
      </c>
      <c r="AP318" s="107">
        <f t="shared" si="26"/>
        <v>0</v>
      </c>
    </row>
    <row r="319" spans="1:42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B319" s="19"/>
    </row>
    <row r="320" spans="1:42" ht="13.5" thickBot="1">
      <c r="A320" s="18"/>
      <c r="B320" s="21"/>
      <c r="C320" s="102">
        <f>SUM(C8:C319)</f>
        <v>0</v>
      </c>
      <c r="D320" s="102">
        <f>SUM(D8:D319)</f>
        <v>0</v>
      </c>
      <c r="E320" s="102">
        <f>SUM(E8:E319)</f>
        <v>0</v>
      </c>
      <c r="F320" s="102">
        <f>SUM(F8:F319)</f>
        <v>0</v>
      </c>
      <c r="G320" s="102">
        <f>SUM(G8:G319)</f>
        <v>0</v>
      </c>
      <c r="H320" s="21"/>
      <c r="I320" s="102">
        <f>SUM(I8:I319)</f>
        <v>0</v>
      </c>
      <c r="J320" s="102">
        <f>SUM(J8:J319)</f>
        <v>0</v>
      </c>
      <c r="K320" s="102">
        <f>SUM(K8:K319)</f>
        <v>0</v>
      </c>
      <c r="L320" s="102">
        <f>SUM(L8:L319)</f>
        <v>0</v>
      </c>
      <c r="M320" s="102">
        <f>SUM(M8:M319)</f>
        <v>0</v>
      </c>
      <c r="N320" s="21"/>
      <c r="O320" s="102">
        <f>SUM(O8:O319)</f>
        <v>0</v>
      </c>
      <c r="P320" s="102">
        <f>SUM(P8:P319)</f>
        <v>0</v>
      </c>
      <c r="Q320" s="102">
        <f>SUM(Q8:Q319)</f>
        <v>0</v>
      </c>
      <c r="R320" s="102">
        <f>SUM(R8:R319)</f>
        <v>0</v>
      </c>
      <c r="S320" s="212"/>
      <c r="T320" s="102">
        <f>SUM(T8:T319)</f>
        <v>0</v>
      </c>
      <c r="U320" s="102">
        <f>SUM(U8:U319)</f>
        <v>0</v>
      </c>
      <c r="V320" s="102">
        <f>SUM(V8:V319)</f>
        <v>0</v>
      </c>
      <c r="W320" s="21"/>
      <c r="X320" s="102">
        <f>SUM(X8:X319)</f>
        <v>0</v>
      </c>
      <c r="Y320" s="102">
        <f>SUM(Y8:Y319)</f>
        <v>0</v>
      </c>
      <c r="Z320" s="21"/>
      <c r="AA320" s="102">
        <f>SUM(AA8:AA319)</f>
        <v>0</v>
      </c>
      <c r="AB320" s="21"/>
      <c r="AC320" s="120">
        <f>SUM(AC8:AC319)</f>
        <v>0</v>
      </c>
      <c r="AE320" s="120">
        <f>SUM(AE8:AE319)</f>
        <v>158066406</v>
      </c>
      <c r="AF320" s="120">
        <f>SUM(AF8:AF319)</f>
        <v>158066406</v>
      </c>
      <c r="AL320" s="108">
        <f>SUM(AL8:AL319)</f>
        <v>0</v>
      </c>
      <c r="AM320" s="108">
        <f>SUM(AM8:AM319)</f>
        <v>0</v>
      </c>
      <c r="AN320" s="108">
        <f>SUM(AN8:AN319)</f>
        <v>0</v>
      </c>
      <c r="AO320" s="108">
        <f>SUM(AO8:AO319)</f>
        <v>0</v>
      </c>
      <c r="AP320" s="108">
        <f>SUM(AP8:AP319)</f>
        <v>0</v>
      </c>
    </row>
    <row r="321" spans="1:28" ht="13.5" thickTop="1">
      <c r="A321" s="18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</row>
    <row r="322" spans="1:28">
      <c r="A322" s="18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</row>
    <row r="323" spans="1:28">
      <c r="A323" s="18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</row>
    <row r="324" spans="1:28">
      <c r="A324" s="18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</row>
    <row r="325" spans="1:28">
      <c r="A325" s="18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</row>
  </sheetData>
  <mergeCells count="5">
    <mergeCell ref="AE3:AF3"/>
    <mergeCell ref="I2:M2"/>
    <mergeCell ref="I3:M3"/>
    <mergeCell ref="X2:Y2"/>
    <mergeCell ref="X3:Y3"/>
  </mergeCells>
  <pageMargins left="0.7" right="0.7" top="0.75" bottom="0.75" header="0.3" footer="0.75"/>
  <pageSetup scale="18" firstPageNumber="3" fitToHeight="0" orientation="portrait" useFirstPageNumber="1" r:id="rId1"/>
  <headerFooter differentOddEven="1">
    <oddHeader xml:space="preserve">&amp;L&amp;"Arial,Bold"&amp;14New Mexico Retiree Health Care Authority&amp;"Arial,Regular"&amp;18
&amp;"Arial,Bold"&amp;12Schedule of Employer Allocations
As of and for the Year Ended June 30, 2017
</oddHeader>
    <oddFooter>&amp;R&amp;"Arial,Regular"&amp;10&amp;P</oddFooter>
    <evenHeader xml:space="preserve">&amp;L&amp;"Arial,Bold"&amp;14New Mexico Retiree Health Care Authority&amp;"-,Regular"&amp;11
&amp;"Arial,Bold"&amp;12Schedule of Employer Allocations
As of and for the Year Ended June 30, 2017
</evenHeader>
    <evenFooter>&amp;R&amp;"Arial,Regular"&amp;10&amp;P</evenFooter>
  </headerFooter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Employer Template</vt:lpstr>
      <vt:lpstr>Contribution Allocation_Report</vt:lpstr>
      <vt:lpstr>OPEB Amounts_Report</vt:lpstr>
      <vt:lpstr>24_OPEB Amounts_Report</vt:lpstr>
      <vt:lpstr>Amortization Tables_Report</vt:lpstr>
      <vt:lpstr>Discount Rate Sensitivity</vt:lpstr>
      <vt:lpstr>Trend Rate Sensitivity</vt:lpstr>
      <vt:lpstr>Change in Proportion Layers</vt:lpstr>
      <vt:lpstr>Change in Proportion Calc</vt:lpstr>
      <vt:lpstr>Contribution Allocation_24</vt:lpstr>
      <vt:lpstr>Membership</vt:lpstr>
      <vt:lpstr>Note 3a</vt:lpstr>
      <vt:lpstr>Notes 3b</vt:lpstr>
      <vt:lpstr>Notes 3c</vt:lpstr>
      <vt:lpstr>Note 3d</vt:lpstr>
      <vt:lpstr>Note 5</vt:lpstr>
      <vt:lpstr>Note 5a</vt:lpstr>
      <vt:lpstr>'24_OPEB Amounts_Report'!Print_Area</vt:lpstr>
      <vt:lpstr>'Amortization Tables_Report'!Print_Area</vt:lpstr>
      <vt:lpstr>'Change in Proportion Calc'!Print_Area</vt:lpstr>
      <vt:lpstr>'Change in Proportion Layers'!Print_Area</vt:lpstr>
      <vt:lpstr>'Contribution Allocation_24'!Print_Area</vt:lpstr>
      <vt:lpstr>'Contribution Allocation_Report'!Print_Area</vt:lpstr>
      <vt:lpstr>'Discount Rate Sensitivity'!Print_Area</vt:lpstr>
      <vt:lpstr>'OPEB Amounts_Report'!Print_Area</vt:lpstr>
      <vt:lpstr>'Trend Rate Sensitivity'!Print_Area</vt:lpstr>
      <vt:lpstr>'24_OPEB Amounts_Report'!Print_Titles</vt:lpstr>
      <vt:lpstr>'Amortization Tables_Report'!Print_Titles</vt:lpstr>
      <vt:lpstr>'Contribution Allocation_24'!Print_Titles</vt:lpstr>
      <vt:lpstr>'Contribution Allocation_Report'!Print_Titles</vt:lpstr>
      <vt:lpstr>'Discount Rate Sensitivity'!Print_Titles</vt:lpstr>
      <vt:lpstr>'OPEB Amounts_Report'!Print_Titles</vt:lpstr>
      <vt:lpstr>'Trend Rate Sensitivity'!Print_Titles</vt:lpstr>
    </vt:vector>
  </TitlesOfParts>
  <Company>The Segal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Kirby, Mary</dc:creator>
  <cp:lastModifiedBy>Hamilton, Aaron</cp:lastModifiedBy>
  <cp:lastPrinted>2026-05-27T17:35:09Z</cp:lastPrinted>
  <dcterms:created xsi:type="dcterms:W3CDTF">2018-04-03T19:34:07Z</dcterms:created>
  <dcterms:modified xsi:type="dcterms:W3CDTF">2026-06-25T20:35:55Z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20</vt:i4>
  </property>
  <property fmtid="{D5CDD505-2E9C-101B-9397-08002B2CF9AE}" pid="3" name="tabName">
    <vt:lpwstr>User Guide (Non Attest)</vt:lpwstr>
  </property>
  <property fmtid="{D5CDD505-2E9C-101B-9397-08002B2CF9AE}" pid="4" name="tabIndex">
    <vt:lpwstr>A-105</vt:lpwstr>
  </property>
  <property fmtid="{D5CDD505-2E9C-101B-9397-08002B2CF9AE}" pid="5" name="workpaperIndex">
    <vt:lpwstr>A-105</vt:lpwstr>
  </property>
</Properties>
</file>